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efiint.sharepoint.com/sites/GenresFacility/Jaetut asiakirjat/General/FORGENIUS/Scientific/FORGENIUS_Protocols/"/>
    </mc:Choice>
  </mc:AlternateContent>
  <xr:revisionPtr revIDLastSave="15" documentId="11_7F5A4BC45D4625A6CCB7F537B4E3A153DD183393" xr6:coauthVersionLast="47" xr6:coauthVersionMax="47" xr10:uidLastSave="{41A359FB-FDFD-B84B-8463-032B4B6209C5}"/>
  <bookViews>
    <workbookView xWindow="0" yWindow="760" windowWidth="30240" windowHeight="17500" tabRatio="795" xr2:uid="{00000000-000D-0000-FFFF-FFFF00000000}"/>
  </bookViews>
  <sheets>
    <sheet name="PV example" sheetId="158" r:id="rId1"/>
  </sheets>
  <definedNames>
    <definedName name="class1_FWft_x" localSheetId="0">'PV example'!$L$24:$L$27</definedName>
    <definedName name="class1_FWft_x">#REF!</definedName>
    <definedName name="class1_FWft_y" localSheetId="0">'PV example'!$H$24:$H$27</definedName>
    <definedName name="class1_FWft_y">#REF!</definedName>
    <definedName name="class1_tlp_x" localSheetId="0">'PV example'!$J$24:$J$27</definedName>
    <definedName name="class1_tlp_x">#REF!</definedName>
    <definedName name="class1_tlp_y" localSheetId="0">'PV example'!$M$24:$M$27</definedName>
    <definedName name="class1_tlp_y">#REF!</definedName>
    <definedName name="class2_n100_x" localSheetId="0">'PV example'!$J$28:$J$31</definedName>
    <definedName name="class2_n100_x">#REF!</definedName>
    <definedName name="class2_n100_y" localSheetId="0">'PV example'!$M$28:$M$31</definedName>
    <definedName name="class2_n100_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" i="158" l="1"/>
  <c r="H36" i="158"/>
  <c r="L10" i="158"/>
  <c r="M10" i="158" s="1"/>
  <c r="H10" i="158"/>
  <c r="D10" i="158"/>
  <c r="C10" i="158"/>
  <c r="B10" i="158"/>
  <c r="L9" i="158"/>
  <c r="M9" i="158" s="1"/>
  <c r="H9" i="158"/>
  <c r="D9" i="158"/>
  <c r="C9" i="158"/>
  <c r="B9" i="158"/>
  <c r="L8" i="158"/>
  <c r="M8" i="158" s="1"/>
  <c r="H8" i="158"/>
  <c r="R8" i="158" s="1"/>
  <c r="S8" i="158" s="1"/>
  <c r="D8" i="158"/>
  <c r="C8" i="158"/>
  <c r="B8" i="158"/>
  <c r="L7" i="158"/>
  <c r="M7" i="158" s="1"/>
  <c r="H7" i="158"/>
  <c r="D7" i="158"/>
  <c r="C7" i="158"/>
  <c r="B7" i="158"/>
  <c r="L6" i="158"/>
  <c r="M6" i="158" s="1"/>
  <c r="H6" i="158"/>
  <c r="D6" i="158"/>
  <c r="C6" i="158"/>
  <c r="B6" i="158"/>
  <c r="L5" i="158"/>
  <c r="M5" i="158" s="1"/>
  <c r="H5" i="158"/>
  <c r="D5" i="158"/>
  <c r="C5" i="158"/>
  <c r="B5" i="158"/>
  <c r="L4" i="158"/>
  <c r="M4" i="158" s="1"/>
  <c r="H4" i="158"/>
  <c r="D4" i="158"/>
  <c r="C4" i="158"/>
  <c r="B4" i="158"/>
  <c r="L3" i="158"/>
  <c r="M3" i="158" s="1"/>
  <c r="H3" i="158"/>
  <c r="D3" i="158"/>
  <c r="C3" i="158"/>
  <c r="B3" i="158"/>
  <c r="L2" i="158"/>
  <c r="M2" i="158" s="1"/>
  <c r="H2" i="158"/>
  <c r="C2" i="158"/>
  <c r="B2" i="158"/>
  <c r="AC3" i="158" l="1"/>
  <c r="AC4" i="158" s="1"/>
  <c r="R2" i="158"/>
  <c r="S2" i="158" s="1"/>
  <c r="U10" i="158"/>
  <c r="W10" i="158" s="1"/>
  <c r="V10" i="158"/>
  <c r="U9" i="158"/>
  <c r="W9" i="158" s="1"/>
  <c r="V9" i="158"/>
  <c r="U3" i="158"/>
  <c r="W3" i="158" s="1"/>
  <c r="V3" i="158"/>
  <c r="U7" i="158"/>
  <c r="W7" i="158" s="1"/>
  <c r="V7" i="158"/>
  <c r="U6" i="158"/>
  <c r="W6" i="158" s="1"/>
  <c r="V6" i="158"/>
  <c r="U4" i="158"/>
  <c r="W4" i="158" s="1"/>
  <c r="V4" i="158"/>
  <c r="U8" i="158"/>
  <c r="W8" i="158" s="1"/>
  <c r="V8" i="158"/>
  <c r="U2" i="158"/>
  <c r="V2" i="158"/>
  <c r="U5" i="158"/>
  <c r="W5" i="158" s="1"/>
  <c r="V5" i="158"/>
  <c r="R3" i="158"/>
  <c r="S3" i="158" s="1"/>
  <c r="T2" i="158" s="1"/>
  <c r="R5" i="158"/>
  <c r="S5" i="158" s="1"/>
  <c r="R4" i="158"/>
  <c r="S4" i="158" s="1"/>
  <c r="R7" i="158"/>
  <c r="S7" i="158" s="1"/>
  <c r="T7" i="158" s="1"/>
  <c r="R9" i="158"/>
  <c r="S9" i="158" s="1"/>
  <c r="T8" i="158" s="1"/>
  <c r="R6" i="158"/>
  <c r="S6" i="158" s="1"/>
  <c r="R10" i="158"/>
  <c r="S10" i="158" s="1"/>
  <c r="T10" i="158" s="1"/>
  <c r="X4" i="158" l="1"/>
  <c r="Y4" i="158" s="1"/>
  <c r="X8" i="158"/>
  <c r="Y8" i="158" s="1"/>
  <c r="X7" i="158"/>
  <c r="Y7" i="158" s="1"/>
  <c r="Z7" i="158" s="1"/>
  <c r="AC15" i="158" s="1"/>
  <c r="X3" i="158"/>
  <c r="Y3" i="158" s="1"/>
  <c r="X10" i="158"/>
  <c r="Y10" i="158" s="1"/>
  <c r="Z10" i="158" s="1"/>
  <c r="X5" i="158"/>
  <c r="Y5" i="158" s="1"/>
  <c r="T4" i="158"/>
  <c r="AC17" i="158"/>
  <c r="W2" i="158"/>
  <c r="X2" i="158" s="1"/>
  <c r="Y2" i="158" s="1"/>
  <c r="X6" i="158"/>
  <c r="Y6" i="158" s="1"/>
  <c r="T9" i="158"/>
  <c r="T6" i="158"/>
  <c r="T5" i="158"/>
  <c r="T3" i="158"/>
  <c r="H40" i="158"/>
  <c r="X9" i="158"/>
  <c r="Y9" i="158" s="1"/>
  <c r="Z4" i="158" l="1"/>
  <c r="Z3" i="158"/>
  <c r="Z5" i="158"/>
  <c r="H39" i="158"/>
  <c r="AC18" i="158"/>
  <c r="Z2" i="158"/>
  <c r="I7" i="158"/>
  <c r="J7" i="158" s="1"/>
  <c r="AC7" i="158" s="1"/>
  <c r="AC8" i="158" s="1"/>
  <c r="I3" i="158"/>
  <c r="J3" i="158" s="1"/>
  <c r="I2" i="158"/>
  <c r="J2" i="158" s="1"/>
  <c r="AC11" i="158" s="1"/>
  <c r="AC12" i="158" s="1"/>
  <c r="I10" i="158"/>
  <c r="J10" i="158" s="1"/>
  <c r="I8" i="158"/>
  <c r="J8" i="158" s="1"/>
  <c r="I5" i="158"/>
  <c r="I9" i="158"/>
  <c r="J9" i="158" s="1"/>
  <c r="I6" i="158"/>
  <c r="J6" i="158" s="1"/>
  <c r="I4" i="158"/>
  <c r="J4" i="158" s="1"/>
  <c r="Z9" i="158"/>
  <c r="Z8" i="158"/>
  <c r="Z6" i="158"/>
  <c r="H44" i="158" l="1"/>
  <c r="H41" i="158"/>
  <c r="H49" i="158"/>
  <c r="H48" i="158"/>
  <c r="H43" i="158"/>
  <c r="J5" i="158"/>
  <c r="H47" i="158" l="1"/>
  <c r="H45" i="158"/>
  <c r="P10" i="158"/>
  <c r="Q10" i="158" s="1"/>
  <c r="P5" i="158"/>
  <c r="Q5" i="158" s="1"/>
  <c r="P6" i="158"/>
  <c r="Q6" i="158" s="1"/>
  <c r="P8" i="158"/>
  <c r="Q8" i="158" s="1"/>
  <c r="P9" i="158"/>
  <c r="Q9" i="158" s="1"/>
  <c r="H42" i="158"/>
  <c r="P4" i="158"/>
  <c r="Q4" i="158" s="1"/>
  <c r="P7" i="158"/>
  <c r="Q7" i="158" s="1"/>
  <c r="P3" i="158"/>
  <c r="Q3" i="158" s="1"/>
  <c r="P2" i="158"/>
  <c r="Q2" i="158" s="1"/>
  <c r="H46" i="15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Florence Jean</author>
  </authors>
  <commentList>
    <comment ref="Z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gmin=E/VPD * Patm</t>
        </r>
      </text>
    </comment>
  </commentList>
</comments>
</file>

<file path=xl/sharedStrings.xml><?xml version="1.0" encoding="utf-8"?>
<sst xmlns="http://schemas.openxmlformats.org/spreadsheetml/2006/main" count="86" uniqueCount="75">
  <si>
    <t>Time</t>
  </si>
  <si>
    <t>FW 1</t>
  </si>
  <si>
    <t>FW 2</t>
  </si>
  <si>
    <t>RWC</t>
  </si>
  <si>
    <t>Class</t>
  </si>
  <si>
    <t>1. Saturated water content extrapolation</t>
  </si>
  <si>
    <t>Slope</t>
  </si>
  <si>
    <t>intercept</t>
  </si>
  <si>
    <t>2. Osmotic potential extrapolation</t>
  </si>
  <si>
    <t>3. Turgor loss extrapolation</t>
  </si>
  <si>
    <t>DW</t>
  </si>
  <si>
    <t>L/S</t>
  </si>
  <si>
    <t>Leaf/Shoot ratio of the sample</t>
  </si>
  <si>
    <t>FWft</t>
  </si>
  <si>
    <t>Fresh weight of sample at -0.2 MPa in (g)</t>
  </si>
  <si>
    <t>Π100</t>
  </si>
  <si>
    <t>Osmotic water potential at full turgor in (MPa)</t>
  </si>
  <si>
    <t>Fs</t>
  </si>
  <si>
    <t>Fraction of symplasmic water</t>
  </si>
  <si>
    <t>RWCtlp</t>
  </si>
  <si>
    <t>RWC at turgor loss</t>
  </si>
  <si>
    <t>Ψtlp</t>
  </si>
  <si>
    <t>Water potential at turgor loss in (MPa)</t>
  </si>
  <si>
    <t>εft</t>
  </si>
  <si>
    <t>Maximum bulk modulus of elasticity in (MPa)</t>
  </si>
  <si>
    <t>εb</t>
  </si>
  <si>
    <t>Mean bulk modulus of elasticity in (MPa)</t>
  </si>
  <si>
    <t>LMA</t>
  </si>
  <si>
    <t>VPD moy</t>
  </si>
  <si>
    <r>
      <rPr>
        <b/>
        <sz val="10"/>
        <rFont val="Open Sans"/>
        <family val="2"/>
      </rPr>
      <t>FW-tare</t>
    </r>
    <r>
      <rPr>
        <b/>
        <sz val="10"/>
        <color rgb="FFFF0000"/>
        <rFont val="Open Sans"/>
        <family val="2"/>
      </rPr>
      <t xml:space="preserve">
</t>
    </r>
    <r>
      <rPr>
        <b/>
        <sz val="10"/>
        <color theme="4" tint="-0.249977111117893"/>
        <rFont val="Open Sans"/>
        <family val="2"/>
      </rPr>
      <t xml:space="preserve"> (y)</t>
    </r>
  </si>
  <si>
    <r>
      <t xml:space="preserve">D=1-RWC
 </t>
    </r>
    <r>
      <rPr>
        <b/>
        <sz val="10"/>
        <color theme="9" tint="-0.249977111117893"/>
        <rFont val="Open Sans"/>
        <family val="2"/>
      </rPr>
      <t>(x)</t>
    </r>
  </si>
  <si>
    <t>Psi (Bar)</t>
  </si>
  <si>
    <r>
      <t xml:space="preserve">Psi (Mpa)
</t>
    </r>
    <r>
      <rPr>
        <b/>
        <sz val="10"/>
        <color theme="4" tint="-0.249977111117893"/>
        <rFont val="Open Sans"/>
        <family val="2"/>
      </rPr>
      <t xml:space="preserve"> (x)</t>
    </r>
  </si>
  <si>
    <r>
      <t xml:space="preserve">1/Psi 
</t>
    </r>
    <r>
      <rPr>
        <b/>
        <sz val="10"/>
        <color theme="9" tint="-0.249977111117893"/>
        <rFont val="Open Sans"/>
        <family val="2"/>
      </rPr>
      <t>(y)</t>
    </r>
  </si>
  <si>
    <t>Psi_O (Mpa)</t>
  </si>
  <si>
    <t>Psi_Turgor</t>
  </si>
  <si>
    <t>Relative Humidity</t>
  </si>
  <si>
    <t>tare</t>
  </si>
  <si>
    <t>Coefficient</t>
  </si>
  <si>
    <t>4. gmin</t>
  </si>
  <si>
    <t>Dry weight of the sample in (g) = Poids à saturation/2</t>
  </si>
  <si>
    <t>gmin 1</t>
  </si>
  <si>
    <t>gmin 2</t>
  </si>
  <si>
    <t>LA</t>
  </si>
  <si>
    <t>Leaf area (m2) sans multiplier par 2</t>
  </si>
  <si>
    <t>Tmoy</t>
  </si>
  <si>
    <t>Leaf mass per area (g/m2)</t>
  </si>
  <si>
    <t>Wsat</t>
  </si>
  <si>
    <t>LS</t>
  </si>
  <si>
    <t>Cbulk1</t>
  </si>
  <si>
    <t>Bulk capacitance (mmol/m2/Mpa)</t>
  </si>
  <si>
    <t>Cbulk,tlp</t>
  </si>
  <si>
    <t>Bulk capacitance after tlp (mmol/m2/Mpa)</t>
  </si>
  <si>
    <t>Shoot DW</t>
  </si>
  <si>
    <t>Seuil FWft</t>
  </si>
  <si>
    <t>Leaf DW</t>
  </si>
  <si>
    <t>Date</t>
  </si>
  <si>
    <t>Day</t>
  </si>
  <si>
    <t>Temp</t>
  </si>
  <si>
    <t>Duration (s)</t>
  </si>
  <si>
    <t>Date_hr</t>
  </si>
  <si>
    <t>Flag0</t>
  </si>
  <si>
    <t>Water mass (g)</t>
  </si>
  <si>
    <t>Water mass (mmol)</t>
  </si>
  <si>
    <t>Transp. E (mmol/s/m2)</t>
  </si>
  <si>
    <t>g (mmol/s/m2)</t>
  </si>
  <si>
    <t>Esat (K Pa)</t>
  </si>
  <si>
    <t>Ea (K Pa)</t>
  </si>
  <si>
    <t>VPD (K Pa)</t>
  </si>
  <si>
    <t>class 1: Values before tlp</t>
  </si>
  <si>
    <t>Class 2: values after TLP</t>
  </si>
  <si>
    <t>Class 2: values after TLP without last value</t>
  </si>
  <si>
    <t>Calculation by the least squares method</t>
  </si>
  <si>
    <t>Water volume in the leaf at 100% relative water content (RWC) per unit of dry mass (g/g)</t>
  </si>
  <si>
    <t>Leaf Succulence(Wsat*LMA) gr/m2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</si>
</sst>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d/m/yy\ h:mm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Open Sans"/>
      <family val="2"/>
    </font>
    <font>
      <b/>
      <sz val="10"/>
      <color theme="1"/>
      <name val="Open Sans"/>
      <family val="2"/>
    </font>
    <font>
      <b/>
      <sz val="10"/>
      <name val="Open Sans"/>
      <family val="2"/>
    </font>
    <font>
      <b/>
      <sz val="10"/>
      <color rgb="FFFF0000"/>
      <name val="Open Sans"/>
      <family val="2"/>
    </font>
    <font>
      <b/>
      <sz val="10"/>
      <color theme="4" tint="-0.249977111117893"/>
      <name val="Open Sans"/>
      <family val="2"/>
    </font>
    <font>
      <b/>
      <sz val="10"/>
      <color theme="9" tint="-0.249977111117893"/>
      <name val="Open Sans"/>
      <family val="2"/>
    </font>
    <font>
      <b/>
      <i/>
      <sz val="10"/>
      <color theme="1"/>
      <name val="Open Sans"/>
      <family val="2"/>
    </font>
    <font>
      <sz val="9"/>
      <color rgb="FF595959"/>
      <name val="Calibri"/>
      <family val="2"/>
      <scheme val="minor"/>
    </font>
    <font>
      <b/>
      <sz val="10"/>
      <color theme="0" tint="-0.499984740745262"/>
      <name val="Open Sans"/>
      <family val="2"/>
    </font>
    <font>
      <sz val="10"/>
      <name val="Open Sans"/>
      <family val="2"/>
    </font>
    <font>
      <sz val="10"/>
      <color theme="0" tint="-0.499984740745262"/>
      <name val="Open Sans"/>
      <family val="2"/>
    </font>
    <font>
      <sz val="10"/>
      <color theme="1"/>
      <name val="Open Sans"/>
    </font>
    <font>
      <b/>
      <sz val="10"/>
      <color rgb="FF7030A0"/>
      <name val="Open Sans"/>
      <family val="2"/>
    </font>
    <font>
      <b/>
      <sz val="9"/>
      <color indexed="81"/>
      <name val="Tahoma"/>
      <family val="2"/>
    </font>
    <font>
      <b/>
      <sz val="11"/>
      <color theme="1"/>
      <name val="Open Sans"/>
      <family val="2"/>
    </font>
    <font>
      <sz val="11"/>
      <color theme="1"/>
      <name val="Open Sans"/>
      <family val="2"/>
    </font>
    <font>
      <b/>
      <i/>
      <sz val="10"/>
      <color theme="1"/>
      <name val="Open Sans"/>
    </font>
    <font>
      <sz val="9"/>
      <color rgb="FFFF0000"/>
      <name val="Open Sans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20" fontId="0" fillId="0" borderId="1" xfId="0" applyNumberForma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2" fontId="1" fillId="6" borderId="1" xfId="0" applyNumberFormat="1" applyFont="1" applyFill="1" applyBorder="1" applyAlignment="1">
      <alignment horizontal="center"/>
    </xf>
    <xf numFmtId="0" fontId="9" fillId="5" borderId="0" xfId="0" applyFont="1" applyFill="1"/>
    <xf numFmtId="0" fontId="3" fillId="5" borderId="0" xfId="0" applyFont="1" applyFill="1"/>
    <xf numFmtId="0" fontId="10" fillId="0" borderId="0" xfId="0" applyFont="1" applyAlignment="1">
      <alignment horizontal="center" vertical="center" readingOrder="1"/>
    </xf>
    <xf numFmtId="0" fontId="3" fillId="0" borderId="0" xfId="0" applyFont="1"/>
    <xf numFmtId="2" fontId="1" fillId="0" borderId="1" xfId="0" applyNumberFormat="1" applyFont="1" applyBorder="1" applyAlignment="1">
      <alignment horizontal="center"/>
    </xf>
    <xf numFmtId="0" fontId="4" fillId="5" borderId="0" xfId="0" applyFont="1" applyFill="1"/>
    <xf numFmtId="2" fontId="2" fillId="0" borderId="1" xfId="0" applyNumberFormat="1" applyFont="1" applyBorder="1" applyAlignment="1">
      <alignment horizontal="center"/>
    </xf>
    <xf numFmtId="0" fontId="4" fillId="0" borderId="0" xfId="0" applyFont="1"/>
    <xf numFmtId="0" fontId="9" fillId="9" borderId="0" xfId="0" applyFont="1" applyFill="1"/>
    <xf numFmtId="0" fontId="9" fillId="8" borderId="0" xfId="0" applyFont="1" applyFill="1"/>
    <xf numFmtId="0" fontId="3" fillId="8" borderId="0" xfId="0" applyFont="1" applyFill="1"/>
    <xf numFmtId="20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10" borderId="0" xfId="0" applyFont="1" applyFill="1" applyAlignment="1">
      <alignment horizontal="center"/>
    </xf>
    <xf numFmtId="164" fontId="12" fillId="0" borderId="0" xfId="0" applyNumberFormat="1" applyFont="1" applyAlignment="1">
      <alignment horizontal="center"/>
    </xf>
    <xf numFmtId="0" fontId="3" fillId="10" borderId="0" xfId="0" applyFont="1" applyFill="1" applyAlignment="1">
      <alignment horizontal="left"/>
    </xf>
    <xf numFmtId="0" fontId="3" fillId="10" borderId="0" xfId="0" applyFont="1" applyFill="1" applyAlignment="1">
      <alignment horizontal="center"/>
    </xf>
    <xf numFmtId="2" fontId="3" fillId="10" borderId="0" xfId="0" applyNumberFormat="1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2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4" fillId="11" borderId="0" xfId="0" applyFont="1" applyFill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164" fontId="4" fillId="10" borderId="0" xfId="0" applyNumberFormat="1" applyFont="1" applyFill="1" applyAlignment="1">
      <alignment horizontal="center"/>
    </xf>
    <xf numFmtId="164" fontId="3" fillId="10" borderId="0" xfId="0" applyNumberFormat="1" applyFont="1" applyFill="1" applyAlignment="1">
      <alignment horizontal="left"/>
    </xf>
    <xf numFmtId="164" fontId="3" fillId="10" borderId="0" xfId="0" applyNumberFormat="1" applyFont="1" applyFill="1" applyAlignment="1">
      <alignment horizontal="center"/>
    </xf>
    <xf numFmtId="0" fontId="11" fillId="0" borderId="0" xfId="0" applyFont="1" applyAlignment="1">
      <alignment horizontal="left"/>
    </xf>
    <xf numFmtId="0" fontId="5" fillId="12" borderId="0" xfId="0" applyFont="1" applyFill="1" applyAlignment="1">
      <alignment horizontal="center"/>
    </xf>
    <xf numFmtId="2" fontId="4" fillId="12" borderId="0" xfId="0" applyNumberFormat="1" applyFont="1" applyFill="1" applyAlignment="1">
      <alignment horizontal="center"/>
    </xf>
    <xf numFmtId="0" fontId="4" fillId="12" borderId="0" xfId="0" applyFont="1" applyFill="1" applyAlignment="1">
      <alignment horizontal="left"/>
    </xf>
    <xf numFmtId="0" fontId="3" fillId="12" borderId="0" xfId="0" applyFont="1" applyFill="1" applyAlignment="1">
      <alignment horizontal="center"/>
    </xf>
    <xf numFmtId="2" fontId="3" fillId="12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0" borderId="0" xfId="0" applyFont="1" applyAlignment="1">
      <alignment horizontal="center"/>
    </xf>
    <xf numFmtId="164" fontId="5" fillId="10" borderId="0" xfId="0" applyNumberFormat="1" applyFont="1" applyFill="1" applyAlignment="1">
      <alignment horizontal="center"/>
    </xf>
    <xf numFmtId="164" fontId="4" fillId="6" borderId="2" xfId="0" applyNumberFormat="1" applyFont="1" applyFill="1" applyBorder="1" applyAlignment="1">
      <alignment horizontal="center" vertical="center" wrapText="1"/>
    </xf>
    <xf numFmtId="165" fontId="17" fillId="6" borderId="3" xfId="0" applyNumberFormat="1" applyFont="1" applyFill="1" applyBorder="1" applyAlignment="1">
      <alignment horizontal="center" vertical="center" wrapText="1"/>
    </xf>
    <xf numFmtId="165" fontId="18" fillId="5" borderId="0" xfId="0" applyNumberFormat="1" applyFont="1" applyFill="1"/>
    <xf numFmtId="165" fontId="17" fillId="5" borderId="0" xfId="0" applyNumberFormat="1" applyFont="1" applyFill="1"/>
    <xf numFmtId="165" fontId="18" fillId="0" borderId="0" xfId="0" applyNumberFormat="1" applyFont="1"/>
    <xf numFmtId="165" fontId="18" fillId="9" borderId="0" xfId="0" applyNumberFormat="1" applyFont="1" applyFill="1"/>
    <xf numFmtId="165" fontId="18" fillId="8" borderId="0" xfId="0" applyNumberFormat="1" applyFont="1" applyFill="1"/>
    <xf numFmtId="165" fontId="4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165" fontId="17" fillId="0" borderId="0" xfId="0" applyNumberFormat="1" applyFont="1" applyAlignment="1">
      <alignment horizontal="center"/>
    </xf>
    <xf numFmtId="164" fontId="19" fillId="11" borderId="0" xfId="0" applyNumberFormat="1" applyFont="1" applyFill="1" applyAlignment="1">
      <alignment horizontal="center"/>
    </xf>
    <xf numFmtId="165" fontId="17" fillId="11" borderId="0" xfId="0" applyNumberFormat="1" applyFont="1" applyFill="1" applyAlignment="1">
      <alignment horizontal="center"/>
    </xf>
    <xf numFmtId="165" fontId="17" fillId="11" borderId="0" xfId="0" applyNumberFormat="1" applyFont="1" applyFill="1"/>
    <xf numFmtId="164" fontId="15" fillId="0" borderId="0" xfId="0" applyNumberFormat="1" applyFont="1" applyAlignment="1">
      <alignment horizontal="center"/>
    </xf>
    <xf numFmtId="165" fontId="17" fillId="0" borderId="0" xfId="0" applyNumberFormat="1" applyFont="1"/>
    <xf numFmtId="164" fontId="5" fillId="12" borderId="0" xfId="0" applyNumberFormat="1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2" fontId="20" fillId="0" borderId="0" xfId="0" applyNumberFormat="1" applyFont="1" applyAlignment="1">
      <alignment horizontal="left"/>
    </xf>
    <xf numFmtId="0" fontId="4" fillId="6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8" borderId="1" xfId="0" applyFont="1" applyFill="1" applyBorder="1" applyAlignment="1">
      <alignment horizontal="center"/>
    </xf>
    <xf numFmtId="14" fontId="3" fillId="0" borderId="1" xfId="0" applyNumberFormat="1" applyFont="1" applyBorder="1"/>
    <xf numFmtId="2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6" fontId="3" fillId="0" borderId="1" xfId="0" applyNumberFormat="1" applyFont="1" applyBorder="1"/>
    <xf numFmtId="165" fontId="3" fillId="0" borderId="1" xfId="0" applyNumberFormat="1" applyFont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3" fillId="1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33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780397368229979"/>
          <c:y val="0.13688893783381972"/>
          <c:w val="0.63227892583830592"/>
          <c:h val="0.70805958402524416"/>
        </c:manualLayout>
      </c:layout>
      <c:scatterChart>
        <c:scatterStyle val="lineMarker"/>
        <c:varyColors val="0"/>
        <c:ser>
          <c:idx val="0"/>
          <c:order val="0"/>
          <c:tx>
            <c:v>Water potential</c:v>
          </c:tx>
          <c:spPr>
            <a:ln w="28575">
              <a:solidFill>
                <a:schemeClr val="accent1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'PV example'!$J$2:$J$31</c:f>
              <c:numCache>
                <c:formatCode>0.0000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'PV example'!$L$2:$L$31</c:f>
              <c:numCache>
                <c:formatCode>0.00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39D-4B9B-84BB-1255116D3658}"/>
            </c:ext>
          </c:extLst>
        </c:ser>
        <c:ser>
          <c:idx val="1"/>
          <c:order val="1"/>
          <c:tx>
            <c:v>Turgor</c:v>
          </c:tx>
          <c:spPr>
            <a:ln w="28575">
              <a:solidFill>
                <a:schemeClr val="accent2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'PV example'!$J$2:$J$31</c:f>
              <c:numCache>
                <c:formatCode>0.0000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'PV example'!$Q$2:$Q$31</c:f>
              <c:numCache>
                <c:formatCode>0.0000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9D-4B9B-84BB-1255116D3658}"/>
            </c:ext>
          </c:extLst>
        </c:ser>
        <c:ser>
          <c:idx val="2"/>
          <c:order val="2"/>
          <c:tx>
            <c:v>Osmotic potential</c:v>
          </c:tx>
          <c:spPr>
            <a:ln w="28575">
              <a:solidFill>
                <a:schemeClr val="accent3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3"/>
              </a:solidFill>
              <a:ln w="9525" cap="flat" cmpd="sng" algn="ctr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'PV example'!$J$2:$J$31</c:f>
              <c:numCache>
                <c:formatCode>0.0000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'PV example'!$P$2:$P$31</c:f>
              <c:numCache>
                <c:formatCode>0.0000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39D-4B9B-84BB-1255116D36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263024"/>
        <c:axId val="377266160"/>
      </c:scatterChart>
      <c:valAx>
        <c:axId val="377263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1-RWC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6160"/>
        <c:crosses val="autoZero"/>
        <c:crossBetween val="midCat"/>
      </c:valAx>
      <c:valAx>
        <c:axId val="37726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- Psi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30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fr-FR" b="1" u="sng"/>
              <a:t>Raw graph 1</a:t>
            </a:r>
            <a:br>
              <a:rPr lang="fr-FR" b="1" u="sng"/>
            </a:br>
            <a:r>
              <a:rPr lang="fr-FR" sz="1200" b="0" i="1" u="none"/>
              <a:t>To plot graph 3</a:t>
            </a:r>
          </a:p>
        </c:rich>
      </c:tx>
      <c:layout>
        <c:manualLayout>
          <c:xMode val="edge"/>
          <c:yMode val="edge"/>
          <c:x val="0.73169973992023019"/>
          <c:y val="6.47003121025881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24194289388268597"/>
          <c:y val="6.0257463708573003E-2"/>
          <c:w val="0.67694817177575595"/>
          <c:h val="0.68096527209655333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65000"/>
                </a:schemeClr>
              </a:solidFill>
              <a:ln w="9525">
                <a:solidFill>
                  <a:schemeClr val="bg1">
                    <a:lumMod val="65000"/>
                  </a:schemeClr>
                </a:solidFill>
              </a:ln>
              <a:effectLst/>
            </c:spPr>
          </c:marker>
          <c:xVal>
            <c:numRef>
              <c:f>'PV example'!$L$2:$L$22</c:f>
              <c:numCache>
                <c:formatCode>0.00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'PV example'!$H$2:$H$22</c:f>
              <c:numCache>
                <c:formatCode>0.000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33-4831-9182-8C9C7BBEE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266552"/>
        <c:axId val="377266944"/>
      </c:scatterChart>
      <c:valAx>
        <c:axId val="3772665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Psi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6944"/>
        <c:crosses val="autoZero"/>
        <c:crossBetween val="midCat"/>
      </c:valAx>
      <c:valAx>
        <c:axId val="377266944"/>
        <c:scaling>
          <c:orientation val="minMax"/>
          <c:min val="6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Weight (g)</a:t>
                </a:r>
              </a:p>
            </c:rich>
          </c:tx>
          <c:layout>
            <c:manualLayout>
              <c:xMode val="edge"/>
              <c:yMode val="edge"/>
              <c:x val="4.6348467560636701E-2"/>
              <c:y val="0.286782575471323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6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Graph 4: to calculate</a:t>
            </a:r>
            <a:r>
              <a:rPr lang="en-US" b="1" u="sng" baseline="0"/>
              <a:t> </a:t>
            </a:r>
            <a:r>
              <a:rPr lang="en-US" b="1" u="sng"/>
              <a:t>osmotic potential at full and loss of turgor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i="1"/>
              <a:t>Green curve regression: 2 - Osmotic potential extrapolation</a:t>
            </a:r>
            <a:br>
              <a:rPr lang="en-US" sz="1200" i="1"/>
            </a:br>
            <a:r>
              <a:rPr lang="en-US" sz="1200" i="1"/>
              <a:t>Yellow curve regression: 3 - Turgor loss extrapolation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412207598137824"/>
          <c:y val="0.23644438534073609"/>
          <c:w val="0.80511159645190333"/>
          <c:h val="0.5940213488260595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rgbClr val="FFFF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lumMod val="60000"/>
                    <a:lumOff val="4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1566341640552011E-2"/>
                  <c:y val="-0.296276464909776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'PV example'!$J$5:$J$12</c:f>
              <c:numCache>
                <c:formatCode>0.0000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'PV example'!$M$5:$M$12</c:f>
              <c:numCache>
                <c:formatCode>0.0000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CE-4F1B-80D2-3A3742ED90E4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567878455722375E-3"/>
                  <c:y val="-9.393888829147523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'PV example'!$J$13:$J$21</c:f>
              <c:numCache>
                <c:formatCode>0.0000</c:formatCode>
                <c:ptCount val="9"/>
              </c:numCache>
            </c:numRef>
          </c:xVal>
          <c:yVal>
            <c:numRef>
              <c:f>'PV example'!$M$13:$M$21</c:f>
              <c:numCache>
                <c:formatCode>0.0000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FCE-4F1B-80D2-3A3742ED90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264592"/>
        <c:axId val="377271648"/>
      </c:scatterChart>
      <c:valAx>
        <c:axId val="3772645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1-RWC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71648"/>
        <c:crosses val="autoZero"/>
        <c:crossBetween val="midCat"/>
      </c:valAx>
      <c:valAx>
        <c:axId val="377271648"/>
        <c:scaling>
          <c:orientation val="minMax"/>
          <c:min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1/Psi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Graph 3: To calculate saturated weight: FWft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i="1"/>
              <a:t>Blue curve regression: 1 - Saturated water content extrapolation</a:t>
            </a:r>
          </a:p>
        </c:rich>
      </c:tx>
      <c:layout>
        <c:manualLayout>
          <c:xMode val="edge"/>
          <c:yMode val="edge"/>
          <c:x val="0.27372947913632034"/>
          <c:y val="6.84814244136277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329778161721545"/>
          <c:y val="0.16011056298979104"/>
          <c:w val="0.72561280859355104"/>
          <c:h val="0.696503384899402"/>
        </c:manualLayout>
      </c:layout>
      <c:scatterChart>
        <c:scatterStyle val="lineMarker"/>
        <c:varyColors val="0"/>
        <c:ser>
          <c:idx val="5"/>
          <c:order val="0"/>
          <c:spPr>
            <a:ln w="19050" cap="rnd">
              <a:noFill/>
              <a:round/>
            </a:ln>
            <a:effectLst/>
          </c:spPr>
          <c:marker>
            <c:symbol val="x"/>
            <c:size val="7"/>
            <c:spPr>
              <a:solidFill>
                <a:schemeClr val="accent1"/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1797189088613483"/>
                  <c:y val="1.071771466220958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'PV example'!$L$5:$L$12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'PV example'!$H$5:$H$12</c:f>
              <c:numCache>
                <c:formatCode>0.000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B0C-4247-95FD-62A7EC276CC4}"/>
            </c:ext>
          </c:extLst>
        </c:ser>
        <c:ser>
          <c:idx val="0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3.6638424649189844E-2"/>
                  <c:y val="-0.2634092002930276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'PV example'!$L$13:$L$21</c:f>
              <c:numCache>
                <c:formatCode>0.00</c:formatCode>
                <c:ptCount val="9"/>
              </c:numCache>
            </c:numRef>
          </c:xVal>
          <c:yVal>
            <c:numRef>
              <c:f>'PV example'!$H$13:$H$21</c:f>
              <c:numCache>
                <c:formatCode>0.000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B0C-4247-95FD-62A7EC276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267728"/>
        <c:axId val="377274000"/>
      </c:scatterChart>
      <c:valAx>
        <c:axId val="3772677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Psi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74000"/>
        <c:crosses val="autoZero"/>
        <c:crossBetween val="midCat"/>
      </c:valAx>
      <c:valAx>
        <c:axId val="377274000"/>
        <c:scaling>
          <c:orientation val="minMax"/>
          <c:min val="3.6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Weight (g)</a:t>
                </a:r>
              </a:p>
            </c:rich>
          </c:tx>
          <c:layout>
            <c:manualLayout>
              <c:xMode val="edge"/>
              <c:yMode val="edge"/>
              <c:x val="4.6348467560636701E-2"/>
              <c:y val="0.286782575471323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7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Raw</a:t>
            </a:r>
            <a:r>
              <a:rPr lang="en-US" b="1" u="sng" baseline="0"/>
              <a:t> </a:t>
            </a:r>
            <a:r>
              <a:rPr lang="en-US" b="1" u="sng"/>
              <a:t>Graph 2</a:t>
            </a:r>
          </a:p>
          <a:p>
            <a:pPr>
              <a:defRPr/>
            </a:pPr>
            <a:r>
              <a:rPr lang="en-US" sz="1200" i="1"/>
              <a:t>To plot graph </a:t>
            </a:r>
            <a:r>
              <a:rPr lang="en-US" sz="1200" i="1" baseline="0"/>
              <a:t>4</a:t>
            </a:r>
            <a:endParaRPr lang="en-US" sz="12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0350956130483689"/>
          <c:y val="0.21762355415352261"/>
          <c:w val="0.87070357730707393"/>
          <c:h val="0.59561174726976163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65000"/>
                </a:schemeClr>
              </a:solidFill>
              <a:ln w="9525">
                <a:solidFill>
                  <a:schemeClr val="bg1">
                    <a:lumMod val="65000"/>
                  </a:schemeClr>
                </a:solidFill>
              </a:ln>
              <a:effectLst/>
            </c:spPr>
          </c:marker>
          <c:xVal>
            <c:numRef>
              <c:f>'PV example'!$J$2:$J$21</c:f>
              <c:numCache>
                <c:formatCode>0.0000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'PV example'!$M$2:$M$21</c:f>
              <c:numCache>
                <c:formatCode>0.0000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40E-46E2-AED3-A4D882421A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261848"/>
        <c:axId val="377272432"/>
      </c:scatterChart>
      <c:valAx>
        <c:axId val="377261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1-RWC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72432"/>
        <c:crosses val="autoZero"/>
        <c:crossBetween val="midCat"/>
      </c:valAx>
      <c:valAx>
        <c:axId val="37727243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b="1"/>
                  <a:t>1/Psi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7261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50803</xdr:colOff>
      <xdr:row>30</xdr:row>
      <xdr:rowOff>70233</xdr:rowOff>
    </xdr:from>
    <xdr:to>
      <xdr:col>36</xdr:col>
      <xdr:colOff>277415</xdr:colOff>
      <xdr:row>57</xdr:row>
      <xdr:rowOff>135955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6703DEB-DAF9-4B39-8639-470526D643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26708</xdr:colOff>
      <xdr:row>50</xdr:row>
      <xdr:rowOff>47214</xdr:rowOff>
    </xdr:from>
    <xdr:to>
      <xdr:col>15</xdr:col>
      <xdr:colOff>618564</xdr:colOff>
      <xdr:row>73</xdr:row>
      <xdr:rowOff>152398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F5FCDE5-E138-4459-9FB2-39B0071A83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723338</xdr:colOff>
      <xdr:row>74</xdr:row>
      <xdr:rowOff>42689</xdr:rowOff>
    </xdr:from>
    <xdr:to>
      <xdr:col>24</xdr:col>
      <xdr:colOff>510988</xdr:colOff>
      <xdr:row>96</xdr:row>
      <xdr:rowOff>143433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BC393971-91BD-4DEA-BEE4-9B74245346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41351</xdr:colOff>
      <xdr:row>74</xdr:row>
      <xdr:rowOff>26670</xdr:rowOff>
    </xdr:from>
    <xdr:to>
      <xdr:col>15</xdr:col>
      <xdr:colOff>627529</xdr:colOff>
      <xdr:row>96</xdr:row>
      <xdr:rowOff>125505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B543D24E-B006-49FF-9190-B2C378F826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718470</xdr:colOff>
      <xdr:row>50</xdr:row>
      <xdr:rowOff>50239</xdr:rowOff>
    </xdr:from>
    <xdr:to>
      <xdr:col>24</xdr:col>
      <xdr:colOff>510988</xdr:colOff>
      <xdr:row>73</xdr:row>
      <xdr:rowOff>152400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5A74FDE1-44F3-4D29-9974-3B060A623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D49"/>
  <sheetViews>
    <sheetView tabSelected="1" topLeftCell="A51" zoomScale="85" zoomScaleNormal="85" zoomScalePageLayoutView="90" workbookViewId="0">
      <selection activeCell="AD76" sqref="AD76"/>
    </sheetView>
  </sheetViews>
  <sheetFormatPr baseColWidth="10" defaultColWidth="9.1640625" defaultRowHeight="16" x14ac:dyDescent="0.2"/>
  <cols>
    <col min="1" max="1" width="11.33203125" style="15" customWidth="1"/>
    <col min="2" max="2" width="3.83203125" style="15" customWidth="1"/>
    <col min="3" max="3" width="15.5" style="15" customWidth="1"/>
    <col min="4" max="4" width="12.33203125" style="15" customWidth="1"/>
    <col min="5" max="5" width="9.6640625" style="36" customWidth="1"/>
    <col min="6" max="6" width="9.33203125" style="24" customWidth="1"/>
    <col min="7" max="7" width="8.6640625" style="24" bestFit="1" customWidth="1"/>
    <col min="8" max="8" width="9.1640625" style="44" customWidth="1"/>
    <col min="9" max="9" width="7.5" style="36" customWidth="1"/>
    <col min="10" max="10" width="9.5" style="36" customWidth="1"/>
    <col min="11" max="11" width="8.6640625" style="36" bestFit="1" customWidth="1"/>
    <col min="12" max="12" width="9.1640625" style="36" customWidth="1"/>
    <col min="13" max="13" width="7.6640625" style="36" customWidth="1"/>
    <col min="14" max="15" width="5.6640625" style="24" bestFit="1" customWidth="1"/>
    <col min="16" max="16" width="12.6640625" style="15" customWidth="1"/>
    <col min="17" max="17" width="10.6640625" style="15" customWidth="1"/>
    <col min="18" max="18" width="9" style="15" customWidth="1"/>
    <col min="19" max="19" width="9.33203125" style="15" customWidth="1"/>
    <col min="20" max="20" width="11.5" style="15" customWidth="1"/>
    <col min="21" max="21" width="7.5" style="15" bestFit="1" customWidth="1"/>
    <col min="22" max="22" width="8.6640625" style="15" bestFit="1" customWidth="1"/>
    <col min="23" max="23" width="7.6640625" style="15" customWidth="1"/>
    <col min="24" max="24" width="6.6640625" style="15" customWidth="1"/>
    <col min="25" max="25" width="6.83203125" style="15" customWidth="1"/>
    <col min="26" max="26" width="9.33203125" style="15" customWidth="1"/>
    <col min="27" max="27" width="4.5" style="19" bestFit="1" customWidth="1"/>
    <col min="28" max="28" width="9.33203125" style="19" customWidth="1"/>
    <col min="29" max="29" width="13.6640625" style="77" customWidth="1"/>
    <col min="30" max="30" width="46.5" style="15" customWidth="1"/>
    <col min="31" max="16384" width="9.1640625" style="15"/>
  </cols>
  <sheetData>
    <row r="1" spans="1:30" s="9" customFormat="1" ht="85.25" customHeight="1" thickBot="1" x14ac:dyDescent="0.25">
      <c r="A1" s="81" t="s">
        <v>56</v>
      </c>
      <c r="B1" s="81" t="s">
        <v>57</v>
      </c>
      <c r="C1" s="81" t="s">
        <v>60</v>
      </c>
      <c r="D1" s="81" t="s">
        <v>59</v>
      </c>
      <c r="E1" s="5" t="s">
        <v>0</v>
      </c>
      <c r="F1" s="5" t="s">
        <v>1</v>
      </c>
      <c r="G1" s="5" t="s">
        <v>2</v>
      </c>
      <c r="H1" s="63" t="s">
        <v>29</v>
      </c>
      <c r="I1" s="5" t="s">
        <v>3</v>
      </c>
      <c r="J1" s="6" t="s">
        <v>30</v>
      </c>
      <c r="K1" s="5" t="s">
        <v>31</v>
      </c>
      <c r="L1" s="6" t="s">
        <v>32</v>
      </c>
      <c r="M1" s="6" t="s">
        <v>33</v>
      </c>
      <c r="N1" s="5" t="s">
        <v>4</v>
      </c>
      <c r="O1" s="5" t="s">
        <v>61</v>
      </c>
      <c r="P1" s="90" t="s">
        <v>34</v>
      </c>
      <c r="Q1" s="7" t="s">
        <v>35</v>
      </c>
      <c r="R1" s="89" t="s">
        <v>62</v>
      </c>
      <c r="S1" s="89" t="s">
        <v>63</v>
      </c>
      <c r="T1" s="89" t="s">
        <v>64</v>
      </c>
      <c r="U1" s="6" t="s">
        <v>58</v>
      </c>
      <c r="V1" s="6" t="s">
        <v>36</v>
      </c>
      <c r="W1" s="6" t="s">
        <v>66</v>
      </c>
      <c r="X1" s="6" t="s">
        <v>67</v>
      </c>
      <c r="Y1" s="6" t="s">
        <v>68</v>
      </c>
      <c r="Z1" s="91" t="s">
        <v>65</v>
      </c>
      <c r="AA1" s="8" t="s">
        <v>37</v>
      </c>
      <c r="AB1" s="9" t="s">
        <v>38</v>
      </c>
      <c r="AC1" s="64" t="s">
        <v>72</v>
      </c>
    </row>
    <row r="2" spans="1:30" ht="15" x14ac:dyDescent="0.2">
      <c r="A2" s="84"/>
      <c r="B2" s="82">
        <f>1+DAY(A2)-DAY($A$2)</f>
        <v>1</v>
      </c>
      <c r="C2" s="87">
        <f>A2+E2</f>
        <v>0</v>
      </c>
      <c r="D2" s="85">
        <v>0</v>
      </c>
      <c r="E2" s="1"/>
      <c r="F2" s="2"/>
      <c r="G2" s="2"/>
      <c r="H2" s="10" t="e">
        <f t="shared" ref="H2:H10" si="0">AVERAGE(F2:G2)-AA2</f>
        <v>#DIV/0!</v>
      </c>
      <c r="I2" s="10" t="e">
        <f>(H2-$H$35)/($H$40-$H$35)</f>
        <v>#DIV/0!</v>
      </c>
      <c r="J2" s="2" t="e">
        <f>1-I2</f>
        <v>#DIV/0!</v>
      </c>
      <c r="K2" s="11"/>
      <c r="L2" s="3">
        <f>K2/10</f>
        <v>0</v>
      </c>
      <c r="M2" s="2" t="e">
        <f>1/L2</f>
        <v>#DIV/0!</v>
      </c>
      <c r="N2" s="94">
        <v>0</v>
      </c>
      <c r="O2" s="4">
        <v>1</v>
      </c>
      <c r="P2" s="2" t="e">
        <f>1/($AC$8-$AC$7*J2)</f>
        <v>#DIV/0!</v>
      </c>
      <c r="Q2" s="2" t="e">
        <f>IF(P2-L2&lt;0,0,P2-L2)</f>
        <v>#DIV/0!</v>
      </c>
      <c r="R2" s="2" t="e">
        <f>H2-$H$35</f>
        <v>#DIV/0!</v>
      </c>
      <c r="S2" s="2" t="e">
        <f>R2*1000/18.01528</f>
        <v>#DIV/0!</v>
      </c>
      <c r="T2" s="2" t="e">
        <f>-SLOPE(S2:S3,D2:D3)/$H$37</f>
        <v>#DIV/0!</v>
      </c>
      <c r="U2" s="88" t="e">
        <f>VLOOKUP($C2,#REF!,2,FALSE)</f>
        <v>#REF!</v>
      </c>
      <c r="V2" s="88" t="e">
        <f>VLOOKUP($C2,#REF!,3,FALSE)</f>
        <v>#REF!</v>
      </c>
      <c r="W2" s="88" t="e">
        <f>6.112*EXP(17.62*U2/(243.12+U2))*100/1000</f>
        <v>#REF!</v>
      </c>
      <c r="X2" s="88" t="e">
        <f>(V2/100)*W2</f>
        <v>#REF!</v>
      </c>
      <c r="Y2" s="88" t="e">
        <f>W2-X2</f>
        <v>#REF!</v>
      </c>
      <c r="Z2" s="88" t="e">
        <f>T2/AVERAGE(Y2:Y3)*100.5</f>
        <v>#DIV/0!</v>
      </c>
      <c r="AA2" s="10"/>
      <c r="AB2" s="12" t="s">
        <v>5</v>
      </c>
      <c r="AC2" s="65"/>
      <c r="AD2" s="14"/>
    </row>
    <row r="3" spans="1:30" ht="15" x14ac:dyDescent="0.2">
      <c r="A3" s="84"/>
      <c r="B3" s="82">
        <f t="shared" ref="B3:B10" si="1">1+DAY(A3)-DAY($A$2)</f>
        <v>1</v>
      </c>
      <c r="C3" s="87">
        <f t="shared" ref="C3:C10" si="2">A3+E3</f>
        <v>0</v>
      </c>
      <c r="D3" s="85">
        <f>IF($A$2=A3, (HOUR(E3)*3600+MINUTE(E3)*60 +SECOND(E3)-(HOUR(E$2)*3600+MINUTE(E$2)*60 +SECOND(E$2))), 24*(A3-$A$2)*3600+HOUR(E3)*3600+MINUTE(E3)*60 +SECOND(E3)-(HOUR(E$2)*3600+MINUTE(E$2)*60 +SECOND(E$2)))</f>
        <v>0</v>
      </c>
      <c r="E3" s="1"/>
      <c r="F3" s="2"/>
      <c r="G3" s="2"/>
      <c r="H3" s="10" t="e">
        <f t="shared" si="0"/>
        <v>#DIV/0!</v>
      </c>
      <c r="I3" s="10" t="e">
        <f>(H3-$H$35)/($H$40-$H$35)</f>
        <v>#DIV/0!</v>
      </c>
      <c r="J3" s="2" t="e">
        <f t="shared" ref="J3:J10" si="3">1-I3</f>
        <v>#DIV/0!</v>
      </c>
      <c r="K3" s="16"/>
      <c r="L3" s="3">
        <f t="shared" ref="L3:L10" si="4">K3/10</f>
        <v>0</v>
      </c>
      <c r="M3" s="2" t="e">
        <f t="shared" ref="M3:M10" si="5">1/L3</f>
        <v>#DIV/0!</v>
      </c>
      <c r="N3" s="83">
        <v>1</v>
      </c>
      <c r="O3" s="4">
        <v>1</v>
      </c>
      <c r="P3" s="2" t="e">
        <f t="shared" ref="P3:P10" si="6">1/($AC$8-$AC$7*J3)</f>
        <v>#DIV/0!</v>
      </c>
      <c r="Q3" s="2" t="e">
        <f t="shared" ref="Q3:Q10" si="7">IF(P3-L3&lt;0,0,P3-L3)</f>
        <v>#DIV/0!</v>
      </c>
      <c r="R3" s="2" t="e">
        <f t="shared" ref="R3:R10" si="8">H3-$H$35</f>
        <v>#DIV/0!</v>
      </c>
      <c r="S3" s="2" t="e">
        <f t="shared" ref="S3:S10" si="9">R3*1000/18.01528</f>
        <v>#DIV/0!</v>
      </c>
      <c r="T3" s="2" t="e">
        <f t="shared" ref="T3:T10" si="10">-SLOPE(S3:S4,D3:D4)/$H$37</f>
        <v>#DIV/0!</v>
      </c>
      <c r="U3" s="88" t="e">
        <f>VLOOKUP($C3,#REF!,2,FALSE)</f>
        <v>#REF!</v>
      </c>
      <c r="V3" s="88" t="e">
        <f>VLOOKUP($C3,#REF!,3,FALSE)</f>
        <v>#REF!</v>
      </c>
      <c r="W3" s="88" t="e">
        <f t="shared" ref="W3:W10" si="11">6.112*EXP(17.62*U3/(243.12+U3))*100/1000</f>
        <v>#REF!</v>
      </c>
      <c r="X3" s="88" t="e">
        <f t="shared" ref="X3:X10" si="12">(V3/100)*W3</f>
        <v>#REF!</v>
      </c>
      <c r="Y3" s="88" t="e">
        <f t="shared" ref="Y3:Y10" si="13">W3-X3</f>
        <v>#REF!</v>
      </c>
      <c r="Z3" s="88" t="e">
        <f t="shared" ref="Z3:Z10" si="14">T3/AVERAGE(Y3:Y4)*100.5</f>
        <v>#DIV/0!</v>
      </c>
      <c r="AA3" s="10"/>
      <c r="AB3" s="13" t="s">
        <v>6</v>
      </c>
      <c r="AC3" s="65" t="e">
        <f>STDEV(H2:H6)/STDEV(L2:L6)</f>
        <v>#DIV/0!</v>
      </c>
      <c r="AD3" s="83" t="s">
        <v>69</v>
      </c>
    </row>
    <row r="4" spans="1:30" x14ac:dyDescent="0.2">
      <c r="A4" s="84"/>
      <c r="B4" s="82">
        <f t="shared" si="1"/>
        <v>1</v>
      </c>
      <c r="C4" s="87">
        <f t="shared" si="2"/>
        <v>0</v>
      </c>
      <c r="D4" s="85">
        <f t="shared" ref="D4:D10" si="15">IF($A$2=A4, (HOUR(E4)*3600+MINUTE(E4)*60 +SECOND(E4)-(HOUR(E$2)*3600+MINUTE(E$2)*60 +SECOND(E$2))), 24*(A4-$A$2)*3600+HOUR(E4)*3600+MINUTE(E4)*60 +SECOND(E4)-(HOUR(E$2)*3600+MINUTE(E$2)*60 +SECOND(E$2)))</f>
        <v>0</v>
      </c>
      <c r="E4" s="1"/>
      <c r="F4" s="2"/>
      <c r="G4" s="2"/>
      <c r="H4" s="10" t="e">
        <f t="shared" si="0"/>
        <v>#DIV/0!</v>
      </c>
      <c r="I4" s="10" t="e">
        <f t="shared" ref="I4:I10" si="16">(H4-$H$35)/($H$40-$H$35)</f>
        <v>#DIV/0!</v>
      </c>
      <c r="J4" s="2" t="e">
        <f t="shared" si="3"/>
        <v>#DIV/0!</v>
      </c>
      <c r="K4" s="18"/>
      <c r="L4" s="3">
        <f t="shared" si="4"/>
        <v>0</v>
      </c>
      <c r="M4" s="2" t="e">
        <f t="shared" si="5"/>
        <v>#DIV/0!</v>
      </c>
      <c r="N4" s="83">
        <v>1</v>
      </c>
      <c r="O4" s="4">
        <v>1</v>
      </c>
      <c r="P4" s="2" t="e">
        <f t="shared" si="6"/>
        <v>#DIV/0!</v>
      </c>
      <c r="Q4" s="2" t="e">
        <f t="shared" si="7"/>
        <v>#DIV/0!</v>
      </c>
      <c r="R4" s="2" t="e">
        <f t="shared" si="8"/>
        <v>#DIV/0!</v>
      </c>
      <c r="S4" s="2" t="e">
        <f t="shared" si="9"/>
        <v>#DIV/0!</v>
      </c>
      <c r="T4" s="2" t="e">
        <f t="shared" si="10"/>
        <v>#DIV/0!</v>
      </c>
      <c r="U4" s="88" t="e">
        <f>VLOOKUP($C4,#REF!,2,FALSE)</f>
        <v>#REF!</v>
      </c>
      <c r="V4" s="88" t="e">
        <f>VLOOKUP($C4,#REF!,3,FALSE)</f>
        <v>#REF!</v>
      </c>
      <c r="W4" s="88" t="e">
        <f t="shared" si="11"/>
        <v>#REF!</v>
      </c>
      <c r="X4" s="88" t="e">
        <f t="shared" si="12"/>
        <v>#REF!</v>
      </c>
      <c r="Y4" s="88" t="e">
        <f t="shared" si="13"/>
        <v>#REF!</v>
      </c>
      <c r="Z4" s="88" t="e">
        <f t="shared" si="14"/>
        <v>#DIV/0!</v>
      </c>
      <c r="AA4" s="10"/>
      <c r="AB4" s="17" t="s">
        <v>7</v>
      </c>
      <c r="AC4" s="66" t="e">
        <f>AVERAGE(H2:H6)+$AC$3*AVERAGE(L2:L6)</f>
        <v>#DIV/0!</v>
      </c>
      <c r="AD4" s="83" t="s">
        <v>69</v>
      </c>
    </row>
    <row r="5" spans="1:30" ht="15" x14ac:dyDescent="0.2">
      <c r="A5" s="84"/>
      <c r="B5" s="82">
        <f t="shared" si="1"/>
        <v>1</v>
      </c>
      <c r="C5" s="87">
        <f t="shared" si="2"/>
        <v>0</v>
      </c>
      <c r="D5" s="85">
        <f t="shared" si="15"/>
        <v>0</v>
      </c>
      <c r="E5" s="1"/>
      <c r="F5" s="2"/>
      <c r="G5" s="2"/>
      <c r="H5" s="10" t="e">
        <f t="shared" si="0"/>
        <v>#DIV/0!</v>
      </c>
      <c r="I5" s="10" t="e">
        <f t="shared" si="16"/>
        <v>#DIV/0!</v>
      </c>
      <c r="J5" s="2" t="e">
        <f t="shared" si="3"/>
        <v>#DIV/0!</v>
      </c>
      <c r="K5" s="16"/>
      <c r="L5" s="3">
        <f t="shared" si="4"/>
        <v>0</v>
      </c>
      <c r="M5" s="2" t="e">
        <f t="shared" si="5"/>
        <v>#DIV/0!</v>
      </c>
      <c r="N5" s="83">
        <v>1</v>
      </c>
      <c r="O5" s="4">
        <v>1</v>
      </c>
      <c r="P5" s="2" t="e">
        <f t="shared" si="6"/>
        <v>#DIV/0!</v>
      </c>
      <c r="Q5" s="2" t="e">
        <f t="shared" si="7"/>
        <v>#DIV/0!</v>
      </c>
      <c r="R5" s="2" t="e">
        <f t="shared" si="8"/>
        <v>#DIV/0!</v>
      </c>
      <c r="S5" s="2" t="e">
        <f t="shared" si="9"/>
        <v>#DIV/0!</v>
      </c>
      <c r="T5" s="2" t="e">
        <f t="shared" si="10"/>
        <v>#DIV/0!</v>
      </c>
      <c r="U5" s="88" t="e">
        <f>VLOOKUP($C5,#REF!,2,FALSE)</f>
        <v>#REF!</v>
      </c>
      <c r="V5" s="88" t="e">
        <f>VLOOKUP($C5,#REF!,3,FALSE)</f>
        <v>#REF!</v>
      </c>
      <c r="W5" s="88" t="e">
        <f t="shared" si="11"/>
        <v>#REF!</v>
      </c>
      <c r="X5" s="88" t="e">
        <f t="shared" si="12"/>
        <v>#REF!</v>
      </c>
      <c r="Y5" s="88" t="e">
        <f t="shared" si="13"/>
        <v>#REF!</v>
      </c>
      <c r="Z5" s="88" t="e">
        <f t="shared" si="14"/>
        <v>#DIV/0!</v>
      </c>
      <c r="AA5" s="10"/>
      <c r="AB5" s="15"/>
      <c r="AC5" s="67"/>
    </row>
    <row r="6" spans="1:30" ht="15" x14ac:dyDescent="0.2">
      <c r="A6" s="84"/>
      <c r="B6" s="82">
        <f t="shared" si="1"/>
        <v>1</v>
      </c>
      <c r="C6" s="87">
        <f t="shared" si="2"/>
        <v>0</v>
      </c>
      <c r="D6" s="85">
        <f t="shared" si="15"/>
        <v>0</v>
      </c>
      <c r="E6" s="1"/>
      <c r="F6" s="2"/>
      <c r="G6" s="2"/>
      <c r="H6" s="10" t="e">
        <f t="shared" si="0"/>
        <v>#DIV/0!</v>
      </c>
      <c r="I6" s="10" t="e">
        <f t="shared" si="16"/>
        <v>#DIV/0!</v>
      </c>
      <c r="J6" s="2" t="e">
        <f t="shared" si="3"/>
        <v>#DIV/0!</v>
      </c>
      <c r="K6" s="16"/>
      <c r="L6" s="3">
        <f t="shared" si="4"/>
        <v>0</v>
      </c>
      <c r="M6" s="2" t="e">
        <f t="shared" si="5"/>
        <v>#DIV/0!</v>
      </c>
      <c r="N6" s="83">
        <v>1</v>
      </c>
      <c r="O6" s="4">
        <v>1</v>
      </c>
      <c r="P6" s="2" t="e">
        <f t="shared" si="6"/>
        <v>#DIV/0!</v>
      </c>
      <c r="Q6" s="2" t="e">
        <f t="shared" si="7"/>
        <v>#DIV/0!</v>
      </c>
      <c r="R6" s="2" t="e">
        <f t="shared" si="8"/>
        <v>#DIV/0!</v>
      </c>
      <c r="S6" s="2" t="e">
        <f t="shared" si="9"/>
        <v>#DIV/0!</v>
      </c>
      <c r="T6" s="2" t="e">
        <f t="shared" si="10"/>
        <v>#DIV/0!</v>
      </c>
      <c r="U6" s="88" t="e">
        <f>VLOOKUP($C6,#REF!,2,FALSE)</f>
        <v>#REF!</v>
      </c>
      <c r="V6" s="88" t="e">
        <f>VLOOKUP($C6,#REF!,3,FALSE)</f>
        <v>#REF!</v>
      </c>
      <c r="W6" s="88" t="e">
        <f t="shared" si="11"/>
        <v>#REF!</v>
      </c>
      <c r="X6" s="88" t="e">
        <f t="shared" si="12"/>
        <v>#REF!</v>
      </c>
      <c r="Y6" s="88" t="e">
        <f t="shared" si="13"/>
        <v>#REF!</v>
      </c>
      <c r="Z6" s="88" t="e">
        <f t="shared" si="14"/>
        <v>#DIV/0!</v>
      </c>
      <c r="AA6" s="10"/>
      <c r="AB6" s="20" t="s">
        <v>8</v>
      </c>
      <c r="AC6" s="68"/>
      <c r="AD6" s="14"/>
    </row>
    <row r="7" spans="1:30" ht="15" x14ac:dyDescent="0.2">
      <c r="A7" s="84"/>
      <c r="B7" s="82">
        <f t="shared" si="1"/>
        <v>1</v>
      </c>
      <c r="C7" s="87">
        <f t="shared" si="2"/>
        <v>0</v>
      </c>
      <c r="D7" s="85">
        <f t="shared" si="15"/>
        <v>0</v>
      </c>
      <c r="E7" s="1"/>
      <c r="F7" s="2"/>
      <c r="G7" s="2"/>
      <c r="H7" s="10" t="e">
        <f t="shared" si="0"/>
        <v>#DIV/0!</v>
      </c>
      <c r="I7" s="10" t="e">
        <f t="shared" si="16"/>
        <v>#DIV/0!</v>
      </c>
      <c r="J7" s="2" t="e">
        <f t="shared" si="3"/>
        <v>#DIV/0!</v>
      </c>
      <c r="K7" s="16"/>
      <c r="L7" s="3">
        <f t="shared" si="4"/>
        <v>0</v>
      </c>
      <c r="M7" s="2" t="e">
        <f t="shared" si="5"/>
        <v>#DIV/0!</v>
      </c>
      <c r="N7" s="86">
        <v>2</v>
      </c>
      <c r="O7" s="4">
        <v>1</v>
      </c>
      <c r="P7" s="2" t="e">
        <f t="shared" si="6"/>
        <v>#DIV/0!</v>
      </c>
      <c r="Q7" s="2" t="e">
        <f t="shared" si="7"/>
        <v>#DIV/0!</v>
      </c>
      <c r="R7" s="2" t="e">
        <f t="shared" si="8"/>
        <v>#DIV/0!</v>
      </c>
      <c r="S7" s="2" t="e">
        <f t="shared" si="9"/>
        <v>#DIV/0!</v>
      </c>
      <c r="T7" s="2" t="e">
        <f t="shared" si="10"/>
        <v>#DIV/0!</v>
      </c>
      <c r="U7" s="88" t="e">
        <f>VLOOKUP($C7,#REF!,2,FALSE)</f>
        <v>#REF!</v>
      </c>
      <c r="V7" s="88" t="e">
        <f>VLOOKUP($C7,#REF!,3,FALSE)</f>
        <v>#REF!</v>
      </c>
      <c r="W7" s="88" t="e">
        <f t="shared" si="11"/>
        <v>#REF!</v>
      </c>
      <c r="X7" s="88" t="e">
        <f t="shared" si="12"/>
        <v>#REF!</v>
      </c>
      <c r="Y7" s="88" t="e">
        <f t="shared" si="13"/>
        <v>#REF!</v>
      </c>
      <c r="Z7" s="88" t="e">
        <f t="shared" si="14"/>
        <v>#DIV/0!</v>
      </c>
      <c r="AA7" s="10"/>
      <c r="AB7" s="20" t="s">
        <v>6</v>
      </c>
      <c r="AC7" s="68" t="e">
        <f>STDEV(M7:M10)/STDEV(J7:J10)</f>
        <v>#DIV/0!</v>
      </c>
      <c r="AD7" s="86" t="s">
        <v>70</v>
      </c>
    </row>
    <row r="8" spans="1:30" ht="15" x14ac:dyDescent="0.2">
      <c r="A8" s="84"/>
      <c r="B8" s="82">
        <f t="shared" si="1"/>
        <v>1</v>
      </c>
      <c r="C8" s="87">
        <f t="shared" si="2"/>
        <v>0</v>
      </c>
      <c r="D8" s="85">
        <f t="shared" si="15"/>
        <v>0</v>
      </c>
      <c r="E8" s="1"/>
      <c r="F8" s="2"/>
      <c r="G8" s="2"/>
      <c r="H8" s="10" t="e">
        <f t="shared" si="0"/>
        <v>#DIV/0!</v>
      </c>
      <c r="I8" s="10" t="e">
        <f t="shared" si="16"/>
        <v>#DIV/0!</v>
      </c>
      <c r="J8" s="2" t="e">
        <f t="shared" si="3"/>
        <v>#DIV/0!</v>
      </c>
      <c r="K8" s="16"/>
      <c r="L8" s="3">
        <f t="shared" si="4"/>
        <v>0</v>
      </c>
      <c r="M8" s="2" t="e">
        <f t="shared" si="5"/>
        <v>#DIV/0!</v>
      </c>
      <c r="N8" s="86">
        <v>2</v>
      </c>
      <c r="O8" s="4">
        <v>1</v>
      </c>
      <c r="P8" s="2" t="e">
        <f t="shared" si="6"/>
        <v>#DIV/0!</v>
      </c>
      <c r="Q8" s="2" t="e">
        <f t="shared" si="7"/>
        <v>#DIV/0!</v>
      </c>
      <c r="R8" s="2" t="e">
        <f t="shared" si="8"/>
        <v>#DIV/0!</v>
      </c>
      <c r="S8" s="2" t="e">
        <f t="shared" si="9"/>
        <v>#DIV/0!</v>
      </c>
      <c r="T8" s="2" t="e">
        <f t="shared" si="10"/>
        <v>#DIV/0!</v>
      </c>
      <c r="U8" s="88" t="e">
        <f>VLOOKUP($C8,#REF!,2,FALSE)</f>
        <v>#REF!</v>
      </c>
      <c r="V8" s="88" t="e">
        <f>VLOOKUP($C8,#REF!,3,FALSE)</f>
        <v>#REF!</v>
      </c>
      <c r="W8" s="88" t="e">
        <f t="shared" si="11"/>
        <v>#REF!</v>
      </c>
      <c r="X8" s="88" t="e">
        <f t="shared" si="12"/>
        <v>#REF!</v>
      </c>
      <c r="Y8" s="88" t="e">
        <f t="shared" si="13"/>
        <v>#REF!</v>
      </c>
      <c r="Z8" s="88" t="e">
        <f t="shared" si="14"/>
        <v>#DIV/0!</v>
      </c>
      <c r="AA8" s="10"/>
      <c r="AB8" s="20" t="s">
        <v>7</v>
      </c>
      <c r="AC8" s="68" t="e">
        <f>AVERAGE(M7:M10)+$AC$7*AVERAGE(J7:J10)</f>
        <v>#DIV/0!</v>
      </c>
      <c r="AD8" s="86" t="s">
        <v>70</v>
      </c>
    </row>
    <row r="9" spans="1:30" ht="15" x14ac:dyDescent="0.2">
      <c r="A9" s="84"/>
      <c r="B9" s="82">
        <f t="shared" si="1"/>
        <v>1</v>
      </c>
      <c r="C9" s="87">
        <f t="shared" si="2"/>
        <v>0</v>
      </c>
      <c r="D9" s="85">
        <f t="shared" si="15"/>
        <v>0</v>
      </c>
      <c r="E9" s="1"/>
      <c r="F9" s="2"/>
      <c r="G9" s="2"/>
      <c r="H9" s="10" t="e">
        <f t="shared" si="0"/>
        <v>#DIV/0!</v>
      </c>
      <c r="I9" s="10" t="e">
        <f t="shared" si="16"/>
        <v>#DIV/0!</v>
      </c>
      <c r="J9" s="2" t="e">
        <f t="shared" si="3"/>
        <v>#DIV/0!</v>
      </c>
      <c r="K9" s="16"/>
      <c r="L9" s="3">
        <f t="shared" si="4"/>
        <v>0</v>
      </c>
      <c r="M9" s="2" t="e">
        <f t="shared" si="5"/>
        <v>#DIV/0!</v>
      </c>
      <c r="N9" s="86">
        <v>2</v>
      </c>
      <c r="O9" s="4">
        <v>1</v>
      </c>
      <c r="P9" s="2" t="e">
        <f t="shared" si="6"/>
        <v>#DIV/0!</v>
      </c>
      <c r="Q9" s="2" t="e">
        <f t="shared" si="7"/>
        <v>#DIV/0!</v>
      </c>
      <c r="R9" s="2" t="e">
        <f t="shared" si="8"/>
        <v>#DIV/0!</v>
      </c>
      <c r="S9" s="2" t="e">
        <f t="shared" si="9"/>
        <v>#DIV/0!</v>
      </c>
      <c r="T9" s="2" t="e">
        <f t="shared" si="10"/>
        <v>#DIV/0!</v>
      </c>
      <c r="U9" s="88" t="e">
        <f>VLOOKUP($C9,#REF!,2,FALSE)</f>
        <v>#REF!</v>
      </c>
      <c r="V9" s="88" t="e">
        <f>VLOOKUP($C9,#REF!,3,FALSE)</f>
        <v>#REF!</v>
      </c>
      <c r="W9" s="88" t="e">
        <f t="shared" si="11"/>
        <v>#REF!</v>
      </c>
      <c r="X9" s="88" t="e">
        <f t="shared" si="12"/>
        <v>#REF!</v>
      </c>
      <c r="Y9" s="88" t="e">
        <f t="shared" si="13"/>
        <v>#REF!</v>
      </c>
      <c r="Z9" s="88" t="e">
        <f t="shared" si="14"/>
        <v>#DIV/0!</v>
      </c>
      <c r="AA9" s="10"/>
      <c r="AB9" s="20"/>
      <c r="AC9" s="68"/>
      <c r="AD9" s="14"/>
    </row>
    <row r="10" spans="1:30" ht="15" x14ac:dyDescent="0.2">
      <c r="A10" s="84"/>
      <c r="B10" s="82">
        <f t="shared" si="1"/>
        <v>1</v>
      </c>
      <c r="C10" s="87">
        <f t="shared" si="2"/>
        <v>0</v>
      </c>
      <c r="D10" s="85">
        <f t="shared" si="15"/>
        <v>0</v>
      </c>
      <c r="E10" s="1"/>
      <c r="F10" s="2"/>
      <c r="G10" s="2"/>
      <c r="H10" s="10" t="e">
        <f t="shared" si="0"/>
        <v>#DIV/0!</v>
      </c>
      <c r="I10" s="10" t="e">
        <f t="shared" si="16"/>
        <v>#DIV/0!</v>
      </c>
      <c r="J10" s="2" t="e">
        <f t="shared" si="3"/>
        <v>#DIV/0!</v>
      </c>
      <c r="K10" s="16"/>
      <c r="L10" s="3">
        <f t="shared" si="4"/>
        <v>0</v>
      </c>
      <c r="M10" s="2" t="e">
        <f t="shared" si="5"/>
        <v>#DIV/0!</v>
      </c>
      <c r="N10" s="86">
        <v>2</v>
      </c>
      <c r="O10" s="4">
        <v>1</v>
      </c>
      <c r="P10" s="2" t="e">
        <f t="shared" si="6"/>
        <v>#DIV/0!</v>
      </c>
      <c r="Q10" s="2" t="e">
        <f t="shared" si="7"/>
        <v>#DIV/0!</v>
      </c>
      <c r="R10" s="2" t="e">
        <f t="shared" si="8"/>
        <v>#DIV/0!</v>
      </c>
      <c r="S10" s="2" t="e">
        <f t="shared" si="9"/>
        <v>#DIV/0!</v>
      </c>
      <c r="T10" s="2" t="e">
        <f t="shared" si="10"/>
        <v>#DIV/0!</v>
      </c>
      <c r="U10" s="88" t="e">
        <f>VLOOKUP($C10,#REF!,2,FALSE)</f>
        <v>#REF!</v>
      </c>
      <c r="V10" s="88" t="e">
        <f>VLOOKUP($C10,#REF!,3,FALSE)</f>
        <v>#REF!</v>
      </c>
      <c r="W10" s="88" t="e">
        <f t="shared" si="11"/>
        <v>#REF!</v>
      </c>
      <c r="X10" s="88" t="e">
        <f t="shared" si="12"/>
        <v>#REF!</v>
      </c>
      <c r="Y10" s="88" t="e">
        <f t="shared" si="13"/>
        <v>#REF!</v>
      </c>
      <c r="Z10" s="88" t="e">
        <f t="shared" si="14"/>
        <v>#DIV/0!</v>
      </c>
      <c r="AA10" s="10"/>
      <c r="AB10" s="21" t="s">
        <v>9</v>
      </c>
      <c r="AC10" s="69"/>
      <c r="AD10" s="14"/>
    </row>
    <row r="11" spans="1:30" ht="15" x14ac:dyDescent="0.2">
      <c r="A11" s="84"/>
      <c r="B11" s="82"/>
      <c r="C11" s="87"/>
      <c r="D11" s="85"/>
      <c r="E11" s="1"/>
      <c r="F11" s="2"/>
      <c r="G11" s="2"/>
      <c r="H11" s="10"/>
      <c r="I11" s="10"/>
      <c r="J11" s="2"/>
      <c r="K11" s="16"/>
      <c r="L11" s="3"/>
      <c r="M11" s="2"/>
      <c r="N11" s="2"/>
      <c r="O11" s="2"/>
      <c r="P11" s="2"/>
      <c r="Q11" s="2"/>
      <c r="R11" s="2"/>
      <c r="S11" s="2"/>
      <c r="T11" s="2"/>
      <c r="U11" s="88"/>
      <c r="V11" s="88"/>
      <c r="W11" s="88"/>
      <c r="X11" s="88"/>
      <c r="Y11" s="88"/>
      <c r="Z11" s="88"/>
      <c r="AA11" s="10"/>
      <c r="AB11" s="22" t="s">
        <v>6</v>
      </c>
      <c r="AC11" s="69" t="e">
        <f>STDEV(M2:M6)/STDEV(J2:J6)</f>
        <v>#DIV/0!</v>
      </c>
      <c r="AD11" s="83" t="s">
        <v>69</v>
      </c>
    </row>
    <row r="12" spans="1:30" ht="15" x14ac:dyDescent="0.2">
      <c r="A12" s="84"/>
      <c r="B12" s="82"/>
      <c r="C12" s="87"/>
      <c r="D12" s="85"/>
      <c r="E12" s="1"/>
      <c r="F12" s="2"/>
      <c r="G12" s="2"/>
      <c r="H12" s="10"/>
      <c r="I12" s="10"/>
      <c r="J12" s="2"/>
      <c r="K12" s="16"/>
      <c r="L12" s="3"/>
      <c r="M12" s="2"/>
      <c r="N12" s="2"/>
      <c r="O12" s="2"/>
      <c r="P12" s="2"/>
      <c r="Q12" s="2"/>
      <c r="R12" s="2"/>
      <c r="S12" s="2"/>
      <c r="T12" s="2"/>
      <c r="U12" s="88"/>
      <c r="V12" s="88"/>
      <c r="W12" s="88"/>
      <c r="X12" s="88"/>
      <c r="Y12" s="88"/>
      <c r="Z12" s="88"/>
      <c r="AA12" s="10"/>
      <c r="AB12" s="22" t="s">
        <v>7</v>
      </c>
      <c r="AC12" s="69" t="e">
        <f>AVERAGE(M2:M6)+AC11*AVERAGE(J2:J6)</f>
        <v>#DIV/0!</v>
      </c>
      <c r="AD12" s="83" t="s">
        <v>69</v>
      </c>
    </row>
    <row r="13" spans="1:30" x14ac:dyDescent="0.2">
      <c r="A13" s="84"/>
      <c r="B13" s="82"/>
      <c r="C13" s="87"/>
      <c r="D13" s="85"/>
      <c r="E13" s="1"/>
      <c r="F13" s="2"/>
      <c r="G13" s="2"/>
      <c r="H13" s="10"/>
      <c r="I13" s="10"/>
      <c r="J13" s="2"/>
      <c r="K13" s="16"/>
      <c r="L13" s="3"/>
      <c r="M13" s="2"/>
      <c r="N13" s="2"/>
      <c r="O13" s="2"/>
      <c r="P13" s="2"/>
      <c r="Q13" s="2"/>
      <c r="R13" s="2"/>
      <c r="S13" s="2"/>
      <c r="T13" s="2"/>
      <c r="U13" s="88"/>
      <c r="V13" s="88"/>
      <c r="W13" s="88"/>
      <c r="X13" s="88"/>
      <c r="Y13" s="88"/>
      <c r="Z13" s="88"/>
      <c r="AA13" s="10"/>
      <c r="AB13" s="42"/>
      <c r="AC13" s="72"/>
    </row>
    <row r="14" spans="1:30" x14ac:dyDescent="0.2">
      <c r="A14" s="84"/>
      <c r="B14" s="82"/>
      <c r="C14" s="87"/>
      <c r="D14" s="85"/>
      <c r="E14" s="1"/>
      <c r="F14" s="2"/>
      <c r="G14" s="2"/>
      <c r="H14" s="10"/>
      <c r="I14" s="10"/>
      <c r="J14" s="2"/>
      <c r="K14" s="16"/>
      <c r="L14" s="3"/>
      <c r="M14" s="2"/>
      <c r="N14" s="2"/>
      <c r="O14" s="2"/>
      <c r="P14" s="2"/>
      <c r="Q14" s="2"/>
      <c r="R14" s="2"/>
      <c r="S14" s="2"/>
      <c r="T14" s="2"/>
      <c r="U14" s="88"/>
      <c r="V14" s="88"/>
      <c r="W14" s="88"/>
      <c r="X14" s="88"/>
      <c r="Y14" s="88"/>
      <c r="Z14" s="88"/>
      <c r="AA14" s="10"/>
      <c r="AB14" s="73" t="s">
        <v>39</v>
      </c>
      <c r="AC14" s="74"/>
    </row>
    <row r="15" spans="1:30" x14ac:dyDescent="0.2">
      <c r="A15" s="84"/>
      <c r="B15" s="82"/>
      <c r="C15" s="87"/>
      <c r="D15" s="85"/>
      <c r="E15" s="1"/>
      <c r="F15" s="2"/>
      <c r="G15" s="2"/>
      <c r="H15" s="10"/>
      <c r="I15" s="10"/>
      <c r="J15" s="2"/>
      <c r="K15" s="16"/>
      <c r="L15" s="3"/>
      <c r="M15" s="2"/>
      <c r="N15" s="2"/>
      <c r="O15" s="2"/>
      <c r="P15" s="2"/>
      <c r="Q15" s="2"/>
      <c r="R15" s="2"/>
      <c r="S15" s="2"/>
      <c r="T15" s="2"/>
      <c r="U15" s="88"/>
      <c r="V15" s="88"/>
      <c r="W15" s="88"/>
      <c r="X15" s="88"/>
      <c r="Y15" s="88"/>
      <c r="Z15" s="88"/>
      <c r="AA15" s="10"/>
      <c r="AB15" s="35" t="s">
        <v>41</v>
      </c>
      <c r="AC15" s="75" t="e">
        <f>AVERAGE(Z7:Z9)</f>
        <v>#DIV/0!</v>
      </c>
      <c r="AD15" s="86" t="s">
        <v>71</v>
      </c>
    </row>
    <row r="16" spans="1:30" x14ac:dyDescent="0.2">
      <c r="A16" s="84"/>
      <c r="B16" s="82"/>
      <c r="C16" s="87"/>
      <c r="D16" s="85"/>
      <c r="E16" s="1"/>
      <c r="F16" s="2"/>
      <c r="G16" s="2"/>
      <c r="H16" s="10"/>
      <c r="I16" s="10"/>
      <c r="J16" s="2"/>
      <c r="K16" s="16"/>
      <c r="L16" s="3"/>
      <c r="M16" s="2"/>
      <c r="N16" s="2"/>
      <c r="O16" s="2"/>
      <c r="P16" s="2"/>
      <c r="Q16" s="2"/>
      <c r="R16" s="2"/>
      <c r="S16" s="2"/>
      <c r="T16" s="2"/>
      <c r="U16" s="88"/>
      <c r="V16" s="88"/>
      <c r="W16" s="88"/>
      <c r="X16" s="88"/>
      <c r="Y16" s="88"/>
      <c r="Z16" s="88"/>
      <c r="AA16" s="10"/>
      <c r="AB16" s="35" t="s">
        <v>42</v>
      </c>
      <c r="AC16" s="75"/>
    </row>
    <row r="17" spans="1:29" x14ac:dyDescent="0.2">
      <c r="A17" s="84"/>
      <c r="B17" s="82"/>
      <c r="C17" s="87"/>
      <c r="D17" s="85"/>
      <c r="E17" s="1"/>
      <c r="F17" s="2"/>
      <c r="G17" s="2"/>
      <c r="H17" s="10"/>
      <c r="I17" s="10"/>
      <c r="J17" s="2"/>
      <c r="K17" s="16"/>
      <c r="L17" s="3"/>
      <c r="M17" s="2"/>
      <c r="N17" s="2"/>
      <c r="O17" s="2"/>
      <c r="P17" s="2"/>
      <c r="Q17" s="2"/>
      <c r="R17" s="2"/>
      <c r="S17" s="2"/>
      <c r="T17" s="2"/>
      <c r="U17" s="88"/>
      <c r="V17" s="88"/>
      <c r="W17" s="88"/>
      <c r="X17" s="88"/>
      <c r="Y17" s="88"/>
      <c r="Z17" s="88"/>
      <c r="AA17" s="10"/>
      <c r="AB17" s="35" t="s">
        <v>45</v>
      </c>
      <c r="AC17" s="75" t="e">
        <f>AVERAGE(U2:U21)</f>
        <v>#REF!</v>
      </c>
    </row>
    <row r="18" spans="1:29" x14ac:dyDescent="0.2">
      <c r="A18" s="84"/>
      <c r="B18" s="82"/>
      <c r="C18" s="87"/>
      <c r="D18" s="85"/>
      <c r="E18" s="1"/>
      <c r="F18" s="2"/>
      <c r="G18" s="2"/>
      <c r="H18" s="10"/>
      <c r="I18" s="10"/>
      <c r="J18" s="2"/>
      <c r="K18" s="16"/>
      <c r="L18" s="3"/>
      <c r="M18" s="2"/>
      <c r="N18" s="2"/>
      <c r="O18" s="2"/>
      <c r="P18" s="2"/>
      <c r="Q18" s="2"/>
      <c r="R18" s="2"/>
      <c r="S18" s="2"/>
      <c r="T18" s="2"/>
      <c r="U18" s="88"/>
      <c r="V18" s="88"/>
      <c r="W18" s="88"/>
      <c r="X18" s="88"/>
      <c r="Y18" s="88"/>
      <c r="Z18" s="88"/>
      <c r="AA18" s="10"/>
      <c r="AB18" s="35" t="s">
        <v>28</v>
      </c>
      <c r="AC18" s="75" t="e">
        <f>AVERAGE(Y2:Y21)</f>
        <v>#REF!</v>
      </c>
    </row>
    <row r="19" spans="1:29" x14ac:dyDescent="0.2">
      <c r="A19" s="84"/>
      <c r="B19" s="82"/>
      <c r="C19" s="87"/>
      <c r="D19" s="85"/>
      <c r="E19" s="1"/>
      <c r="F19" s="2"/>
      <c r="G19" s="2"/>
      <c r="H19" s="10"/>
      <c r="I19" s="10"/>
      <c r="J19" s="2"/>
      <c r="K19" s="16"/>
      <c r="L19" s="3"/>
      <c r="M19" s="2"/>
      <c r="N19" s="2"/>
      <c r="O19" s="2"/>
      <c r="P19" s="2"/>
      <c r="Q19" s="2"/>
      <c r="R19" s="2"/>
      <c r="S19" s="2"/>
      <c r="T19" s="2"/>
      <c r="U19" s="88"/>
      <c r="V19" s="88"/>
      <c r="W19" s="88"/>
      <c r="X19" s="88"/>
      <c r="Y19" s="88"/>
      <c r="Z19" s="88"/>
      <c r="AA19" s="10"/>
    </row>
    <row r="20" spans="1:29" x14ac:dyDescent="0.2">
      <c r="A20" s="84"/>
      <c r="B20" s="82"/>
      <c r="C20" s="87"/>
      <c r="D20" s="85"/>
      <c r="E20" s="1"/>
      <c r="F20" s="2"/>
      <c r="G20" s="2"/>
      <c r="H20" s="10"/>
      <c r="I20" s="10"/>
      <c r="J20" s="2"/>
      <c r="K20" s="16"/>
      <c r="L20" s="3"/>
      <c r="M20" s="2"/>
      <c r="N20" s="2"/>
      <c r="O20" s="2"/>
      <c r="P20" s="2"/>
      <c r="Q20" s="2"/>
      <c r="R20" s="2"/>
      <c r="S20" s="2"/>
      <c r="T20" s="2"/>
      <c r="U20" s="88"/>
      <c r="V20" s="88"/>
      <c r="W20" s="88"/>
      <c r="X20" s="88"/>
      <c r="Y20" s="88"/>
      <c r="Z20" s="88"/>
      <c r="AA20" s="10"/>
    </row>
    <row r="21" spans="1:29" x14ac:dyDescent="0.2">
      <c r="A21" s="84"/>
      <c r="B21" s="82"/>
      <c r="C21" s="87"/>
      <c r="D21" s="85"/>
      <c r="E21" s="1"/>
      <c r="F21" s="2"/>
      <c r="G21" s="2"/>
      <c r="H21" s="10"/>
      <c r="I21" s="10"/>
      <c r="J21" s="2"/>
      <c r="K21" s="11"/>
      <c r="L21" s="3"/>
      <c r="M21" s="2"/>
      <c r="N21" s="2"/>
      <c r="O21" s="2"/>
      <c r="P21" s="2"/>
      <c r="Q21" s="2"/>
      <c r="R21" s="2"/>
      <c r="S21" s="2"/>
      <c r="T21" s="2"/>
      <c r="U21" s="88"/>
      <c r="V21" s="88"/>
      <c r="W21" s="88"/>
      <c r="X21" s="88"/>
      <c r="Y21" s="88"/>
      <c r="Z21" s="88"/>
      <c r="AA21" s="10"/>
    </row>
    <row r="22" spans="1:29" x14ac:dyDescent="0.2">
      <c r="B22" s="82"/>
      <c r="C22" s="87"/>
      <c r="D22" s="85"/>
      <c r="E22" s="1"/>
      <c r="F22" s="2"/>
      <c r="G22" s="2"/>
      <c r="H22" s="10"/>
      <c r="I22" s="10"/>
      <c r="J22" s="2"/>
      <c r="K22" s="11"/>
      <c r="L22" s="3"/>
      <c r="M22" s="2"/>
      <c r="N22" s="2"/>
      <c r="O22" s="2"/>
      <c r="P22" s="2"/>
      <c r="Q22" s="2"/>
      <c r="R22" s="2"/>
      <c r="S22" s="2"/>
      <c r="T22" s="2"/>
      <c r="U22" s="88"/>
      <c r="V22" s="88"/>
      <c r="W22" s="88"/>
      <c r="X22" s="88"/>
      <c r="Y22" s="88"/>
      <c r="Z22" s="88"/>
      <c r="AA22" s="10"/>
    </row>
    <row r="23" spans="1:29" x14ac:dyDescent="0.2">
      <c r="A23" s="82"/>
      <c r="B23" s="82"/>
      <c r="C23" s="82"/>
      <c r="D23" s="82"/>
      <c r="E23" s="1"/>
      <c r="F23" s="2"/>
      <c r="G23" s="2"/>
      <c r="H23" s="10"/>
      <c r="I23" s="10"/>
      <c r="J23" s="2"/>
      <c r="K23" s="11"/>
      <c r="L23" s="3"/>
      <c r="M23" s="2"/>
      <c r="N23" s="2"/>
      <c r="O23" s="2"/>
      <c r="P23" s="2"/>
      <c r="Q23" s="2"/>
      <c r="R23" s="2"/>
      <c r="S23" s="2"/>
      <c r="T23" s="2"/>
      <c r="U23" s="2"/>
      <c r="V23" s="10"/>
      <c r="W23" s="10"/>
      <c r="X23" s="10"/>
      <c r="Y23" s="10"/>
      <c r="Z23" s="10"/>
      <c r="AA23" s="10"/>
    </row>
    <row r="24" spans="1:29" x14ac:dyDescent="0.2">
      <c r="A24" s="82"/>
      <c r="B24" s="82"/>
      <c r="C24" s="82"/>
      <c r="D24" s="82"/>
      <c r="E24" s="1"/>
      <c r="F24" s="2"/>
      <c r="G24" s="2"/>
      <c r="H24" s="10"/>
      <c r="I24" s="10"/>
      <c r="J24" s="2"/>
      <c r="K24" s="11"/>
      <c r="L24" s="3"/>
      <c r="M24" s="2"/>
      <c r="N24" s="4"/>
      <c r="O24" s="4"/>
      <c r="P24" s="2"/>
      <c r="Q24" s="2"/>
      <c r="R24" s="2"/>
      <c r="S24" s="2"/>
      <c r="T24" s="2"/>
      <c r="U24" s="2"/>
      <c r="V24" s="10"/>
      <c r="W24" s="10"/>
      <c r="X24" s="10"/>
      <c r="Y24" s="10"/>
      <c r="Z24" s="10"/>
      <c r="AA24" s="10"/>
    </row>
    <row r="25" spans="1:29" x14ac:dyDescent="0.2">
      <c r="A25" s="82"/>
      <c r="B25" s="82"/>
      <c r="C25" s="82"/>
      <c r="D25" s="82"/>
      <c r="E25" s="1"/>
      <c r="F25" s="2"/>
      <c r="G25" s="2"/>
      <c r="H25" s="10"/>
      <c r="I25" s="10"/>
      <c r="J25" s="2"/>
      <c r="K25" s="11"/>
      <c r="L25" s="3"/>
      <c r="M25" s="2"/>
      <c r="N25" s="4"/>
      <c r="O25" s="4"/>
      <c r="P25" s="2"/>
      <c r="Q25" s="2"/>
      <c r="R25" s="2"/>
      <c r="S25" s="2"/>
      <c r="T25" s="2"/>
      <c r="U25" s="2"/>
      <c r="V25" s="10"/>
      <c r="W25" s="10"/>
      <c r="X25" s="10"/>
      <c r="Y25" s="10"/>
      <c r="Z25" s="10"/>
      <c r="AA25" s="10"/>
    </row>
    <row r="26" spans="1:29" x14ac:dyDescent="0.2">
      <c r="A26" s="82"/>
      <c r="B26" s="82"/>
      <c r="C26" s="82"/>
      <c r="D26" s="82"/>
      <c r="E26" s="1"/>
      <c r="F26" s="2"/>
      <c r="G26" s="2"/>
      <c r="H26" s="10"/>
      <c r="I26" s="10"/>
      <c r="J26" s="2"/>
      <c r="K26" s="11"/>
      <c r="L26" s="3"/>
      <c r="M26" s="2"/>
      <c r="N26" s="4"/>
      <c r="O26" s="4"/>
      <c r="P26" s="2"/>
      <c r="Q26" s="2"/>
      <c r="R26" s="2"/>
      <c r="S26" s="2"/>
      <c r="T26" s="2"/>
      <c r="U26" s="2"/>
      <c r="V26" s="10"/>
      <c r="W26" s="10"/>
      <c r="X26" s="10"/>
      <c r="Y26" s="10"/>
      <c r="Z26" s="10"/>
      <c r="AA26" s="10"/>
    </row>
    <row r="27" spans="1:29" x14ac:dyDescent="0.2">
      <c r="A27" s="82"/>
      <c r="B27" s="82"/>
      <c r="C27" s="82"/>
      <c r="D27" s="82"/>
      <c r="E27" s="1"/>
      <c r="F27" s="2"/>
      <c r="G27" s="2"/>
      <c r="H27" s="10"/>
      <c r="I27" s="10"/>
      <c r="J27" s="2"/>
      <c r="K27" s="11"/>
      <c r="L27" s="3"/>
      <c r="M27" s="2"/>
      <c r="N27" s="4"/>
      <c r="O27" s="4"/>
      <c r="P27" s="2"/>
      <c r="Q27" s="2"/>
      <c r="R27" s="2"/>
      <c r="S27" s="2"/>
      <c r="T27" s="2"/>
      <c r="U27" s="2"/>
      <c r="V27" s="10"/>
      <c r="W27" s="10"/>
      <c r="X27" s="10"/>
      <c r="Y27" s="10"/>
      <c r="Z27" s="10"/>
      <c r="AA27" s="10"/>
    </row>
    <row r="28" spans="1:29" x14ac:dyDescent="0.2">
      <c r="A28" s="82"/>
      <c r="B28" s="82"/>
      <c r="C28" s="82"/>
      <c r="D28" s="82"/>
      <c r="E28" s="1"/>
      <c r="F28" s="2"/>
      <c r="G28" s="2"/>
      <c r="H28" s="10"/>
      <c r="I28" s="10"/>
      <c r="J28" s="2"/>
      <c r="K28" s="11"/>
      <c r="L28" s="3"/>
      <c r="M28" s="2"/>
      <c r="N28" s="4"/>
      <c r="O28" s="4"/>
      <c r="P28" s="2"/>
      <c r="Q28" s="2"/>
      <c r="R28" s="2"/>
      <c r="S28" s="2"/>
      <c r="T28" s="2"/>
      <c r="U28" s="2"/>
      <c r="V28" s="10"/>
      <c r="W28" s="10"/>
      <c r="X28" s="10"/>
      <c r="Y28" s="10"/>
      <c r="Z28" s="10"/>
      <c r="AA28" s="10"/>
    </row>
    <row r="29" spans="1:29" x14ac:dyDescent="0.2">
      <c r="A29" s="82"/>
      <c r="B29" s="82"/>
      <c r="C29" s="82"/>
      <c r="D29" s="82"/>
      <c r="E29" s="1"/>
      <c r="F29" s="2"/>
      <c r="G29" s="2"/>
      <c r="H29" s="10"/>
      <c r="I29" s="10"/>
      <c r="J29" s="2"/>
      <c r="K29" s="11"/>
      <c r="L29" s="3"/>
      <c r="M29" s="2"/>
      <c r="N29" s="4"/>
      <c r="O29" s="4"/>
      <c r="P29" s="2"/>
      <c r="Q29" s="2"/>
      <c r="R29" s="2"/>
      <c r="S29" s="2"/>
      <c r="T29" s="2"/>
      <c r="U29" s="2"/>
      <c r="V29" s="10"/>
      <c r="W29" s="10"/>
      <c r="X29" s="10"/>
      <c r="Y29" s="10"/>
      <c r="Z29" s="10"/>
      <c r="AA29" s="10"/>
    </row>
    <row r="30" spans="1:29" x14ac:dyDescent="0.2">
      <c r="A30" s="82"/>
      <c r="B30" s="82"/>
      <c r="C30" s="82"/>
      <c r="D30" s="82"/>
      <c r="E30" s="1"/>
      <c r="F30" s="2"/>
      <c r="G30" s="2"/>
      <c r="H30" s="10"/>
      <c r="I30" s="10"/>
      <c r="J30" s="2"/>
      <c r="K30" s="11"/>
      <c r="L30" s="3"/>
      <c r="M30" s="2"/>
      <c r="N30" s="4"/>
      <c r="O30" s="4"/>
      <c r="P30" s="2"/>
      <c r="Q30" s="2"/>
      <c r="R30" s="2"/>
      <c r="S30" s="2"/>
      <c r="T30" s="2"/>
      <c r="U30" s="2"/>
      <c r="V30" s="10"/>
      <c r="W30" s="10"/>
      <c r="X30" s="10"/>
      <c r="Y30" s="10"/>
      <c r="Z30" s="10"/>
      <c r="AA30" s="10"/>
    </row>
    <row r="31" spans="1:29" x14ac:dyDescent="0.2">
      <c r="A31" s="82"/>
      <c r="B31" s="82"/>
      <c r="C31" s="82"/>
      <c r="D31" s="82"/>
      <c r="E31" s="1"/>
      <c r="F31" s="2"/>
      <c r="G31" s="2"/>
      <c r="H31" s="10"/>
      <c r="I31" s="10"/>
      <c r="J31" s="2"/>
      <c r="K31" s="11"/>
      <c r="L31" s="3"/>
      <c r="M31" s="2"/>
      <c r="N31" s="4"/>
      <c r="O31" s="4"/>
      <c r="P31" s="2"/>
      <c r="Q31" s="2"/>
      <c r="R31" s="2"/>
      <c r="S31" s="2"/>
      <c r="T31" s="2"/>
      <c r="U31" s="2"/>
      <c r="V31" s="10"/>
      <c r="W31" s="10"/>
      <c r="X31" s="10"/>
      <c r="Y31" s="10"/>
      <c r="Z31" s="10"/>
      <c r="AA31" s="10"/>
    </row>
    <row r="32" spans="1:29" x14ac:dyDescent="0.2">
      <c r="A32" s="82"/>
      <c r="B32" s="82"/>
      <c r="C32" s="82"/>
      <c r="D32" s="82"/>
      <c r="E32" s="1"/>
      <c r="F32" s="2"/>
      <c r="G32" s="2"/>
      <c r="H32" s="10"/>
      <c r="I32" s="10"/>
      <c r="J32" s="2"/>
      <c r="K32" s="11"/>
      <c r="L32" s="3"/>
      <c r="M32" s="2"/>
      <c r="N32" s="4"/>
      <c r="O32" s="4"/>
      <c r="P32" s="2"/>
      <c r="Q32" s="2"/>
      <c r="R32" s="2"/>
      <c r="S32" s="2"/>
      <c r="T32" s="2"/>
      <c r="U32" s="2"/>
      <c r="V32" s="10"/>
      <c r="W32" s="10"/>
      <c r="X32" s="10"/>
      <c r="Y32" s="10"/>
      <c r="Z32" s="10"/>
      <c r="AA32" s="10"/>
    </row>
    <row r="33" spans="5:27" x14ac:dyDescent="0.2">
      <c r="E33" s="23"/>
      <c r="F33" s="70"/>
      <c r="G33" s="70"/>
      <c r="I33" s="44"/>
      <c r="J33" s="44"/>
      <c r="N33" s="40"/>
      <c r="O33" s="40"/>
      <c r="P33" s="36"/>
      <c r="Q33" s="36"/>
      <c r="R33" s="36"/>
      <c r="S33" s="36"/>
      <c r="T33" s="36"/>
      <c r="U33" s="71"/>
      <c r="V33" s="71"/>
      <c r="W33" s="71"/>
      <c r="X33" s="71"/>
      <c r="Y33" s="71"/>
      <c r="Z33" s="71"/>
      <c r="AA33" s="42"/>
    </row>
    <row r="34" spans="5:27" x14ac:dyDescent="0.2">
      <c r="E34" s="23"/>
      <c r="F34" s="70"/>
      <c r="I34" s="44"/>
      <c r="J34" s="44"/>
      <c r="N34" s="40"/>
      <c r="O34" s="40"/>
      <c r="P34" s="36"/>
      <c r="U34" s="39"/>
      <c r="V34" s="39"/>
      <c r="W34" s="39"/>
      <c r="X34" s="39"/>
      <c r="Y34" s="39"/>
      <c r="Z34" s="39"/>
      <c r="AA34" s="42"/>
    </row>
    <row r="35" spans="5:27" x14ac:dyDescent="0.2">
      <c r="E35" s="23"/>
      <c r="G35" s="25" t="s">
        <v>10</v>
      </c>
      <c r="H35" s="62"/>
      <c r="I35" s="25"/>
      <c r="J35" s="27" t="s">
        <v>40</v>
      </c>
      <c r="K35" s="28"/>
      <c r="L35" s="29"/>
      <c r="M35" s="29"/>
      <c r="N35" s="30"/>
      <c r="O35" s="30"/>
      <c r="P35" s="31"/>
      <c r="Q35" s="32"/>
      <c r="R35" s="32"/>
      <c r="S35" s="32"/>
      <c r="T35" s="32"/>
      <c r="U35" s="33"/>
      <c r="V35" s="33"/>
      <c r="W35" s="33"/>
      <c r="X35" s="33"/>
      <c r="Y35" s="33"/>
      <c r="Z35" s="33"/>
      <c r="AA35" s="34"/>
    </row>
    <row r="36" spans="5:27" x14ac:dyDescent="0.2">
      <c r="E36" s="36" t="s">
        <v>55</v>
      </c>
      <c r="F36" s="92"/>
      <c r="G36" s="37" t="s">
        <v>11</v>
      </c>
      <c r="H36" s="76" t="e">
        <f>F36/F37</f>
        <v>#DIV/0!</v>
      </c>
      <c r="I36" s="38"/>
      <c r="J36" s="33" t="s">
        <v>12</v>
      </c>
      <c r="L36" s="39"/>
      <c r="M36" s="39"/>
      <c r="N36" s="40"/>
      <c r="O36" s="40"/>
      <c r="P36" s="41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4"/>
    </row>
    <row r="37" spans="5:27" x14ac:dyDescent="0.2">
      <c r="E37" s="36" t="s">
        <v>53</v>
      </c>
      <c r="F37" s="92"/>
      <c r="G37" s="37" t="s">
        <v>43</v>
      </c>
      <c r="H37" s="92"/>
      <c r="I37" s="38"/>
      <c r="J37" s="33" t="s">
        <v>44</v>
      </c>
      <c r="L37" s="39"/>
      <c r="M37" s="39"/>
      <c r="N37" s="80"/>
      <c r="O37" s="80"/>
      <c r="P37" s="41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4"/>
    </row>
    <row r="38" spans="5:27" x14ac:dyDescent="0.2">
      <c r="E38" s="36" t="s">
        <v>54</v>
      </c>
      <c r="F38" s="93">
        <v>0.02</v>
      </c>
      <c r="G38" s="37" t="s">
        <v>27</v>
      </c>
      <c r="H38" s="76" t="e">
        <f>F36/H37</f>
        <v>#DIV/0!</v>
      </c>
      <c r="I38" s="38"/>
      <c r="J38" s="33" t="s">
        <v>46</v>
      </c>
      <c r="L38" s="39"/>
      <c r="M38" s="39"/>
      <c r="N38" s="40"/>
      <c r="O38" s="40"/>
      <c r="P38" s="41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4"/>
    </row>
    <row r="39" spans="5:27" x14ac:dyDescent="0.2">
      <c r="F39" s="42"/>
      <c r="G39" s="43" t="s">
        <v>47</v>
      </c>
      <c r="H39" s="26" t="e">
        <f>((H40-H35)/H35)</f>
        <v>#DIV/0!</v>
      </c>
      <c r="I39" s="44"/>
      <c r="J39" s="45" t="s">
        <v>73</v>
      </c>
      <c r="N39" s="40"/>
      <c r="O39" s="40"/>
      <c r="P39" s="41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4"/>
    </row>
    <row r="40" spans="5:27" x14ac:dyDescent="0.2">
      <c r="F40" s="42"/>
      <c r="G40" s="25" t="s">
        <v>13</v>
      </c>
      <c r="H40" s="62" t="e">
        <f>$AC$4-F38*$AC$3</f>
        <v>#DIV/0!</v>
      </c>
      <c r="I40" s="46"/>
      <c r="J40" s="47" t="s">
        <v>14</v>
      </c>
      <c r="K40" s="28"/>
      <c r="L40" s="48"/>
      <c r="M40" s="48"/>
      <c r="N40" s="30"/>
      <c r="O40" s="30"/>
      <c r="P40" s="31"/>
      <c r="Q40" s="32"/>
      <c r="R40" s="32"/>
      <c r="S40" s="33"/>
      <c r="T40" s="33"/>
      <c r="U40" s="33"/>
      <c r="V40" s="33"/>
      <c r="W40" s="32"/>
      <c r="X40" s="32"/>
      <c r="Y40" s="32"/>
      <c r="Z40" s="32"/>
      <c r="AA40" s="49"/>
    </row>
    <row r="41" spans="5:27" x14ac:dyDescent="0.2">
      <c r="G41" s="37" t="s">
        <v>48</v>
      </c>
      <c r="H41" s="26" t="e">
        <f>H39*H38</f>
        <v>#DIV/0!</v>
      </c>
      <c r="J41" s="45" t="s">
        <v>74</v>
      </c>
      <c r="L41" s="44"/>
      <c r="M41" s="44"/>
      <c r="P41" s="41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4"/>
    </row>
    <row r="42" spans="5:27" x14ac:dyDescent="0.2">
      <c r="G42" s="50" t="s">
        <v>15</v>
      </c>
      <c r="H42" s="78" t="e">
        <f>1/$AC$8</f>
        <v>#DIV/0!</v>
      </c>
      <c r="I42" s="51"/>
      <c r="J42" s="52" t="s">
        <v>16</v>
      </c>
      <c r="K42" s="53"/>
      <c r="L42" s="54"/>
      <c r="M42" s="54"/>
      <c r="N42" s="51"/>
      <c r="O42" s="51"/>
      <c r="P42" s="31"/>
      <c r="Q42" s="32"/>
      <c r="R42" s="32"/>
      <c r="S42" s="32"/>
      <c r="T42" s="32"/>
      <c r="U42" s="33"/>
      <c r="V42" s="33"/>
      <c r="W42" s="33"/>
      <c r="X42" s="33"/>
      <c r="Y42" s="33"/>
      <c r="Z42" s="33"/>
      <c r="AA42" s="34"/>
    </row>
    <row r="43" spans="5:27" x14ac:dyDescent="0.2">
      <c r="G43" s="37" t="s">
        <v>17</v>
      </c>
      <c r="H43" s="43" t="e">
        <f>$AC$8/$AC$7</f>
        <v>#DIV/0!</v>
      </c>
      <c r="I43" s="40"/>
      <c r="J43" s="33" t="s">
        <v>18</v>
      </c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4"/>
    </row>
    <row r="44" spans="5:27" x14ac:dyDescent="0.2">
      <c r="G44" s="55" t="s">
        <v>19</v>
      </c>
      <c r="H44" s="79" t="e">
        <f>1-(($AC$12-$AC$8)/($AC$11-$AC$7))</f>
        <v>#DIV/0!</v>
      </c>
      <c r="I44" s="56"/>
      <c r="J44" s="57" t="s">
        <v>20</v>
      </c>
      <c r="K44" s="58"/>
      <c r="L44" s="58"/>
      <c r="M44" s="58"/>
      <c r="N44" s="59"/>
      <c r="O44" s="59"/>
      <c r="P44" s="36"/>
    </row>
    <row r="45" spans="5:27" x14ac:dyDescent="0.2">
      <c r="G45" s="55" t="s">
        <v>21</v>
      </c>
      <c r="H45" s="79" t="e">
        <f>1/($AC$8-$AC$7*(1-$H$44))</f>
        <v>#DIV/0!</v>
      </c>
      <c r="I45" s="56"/>
      <c r="J45" s="60" t="s">
        <v>22</v>
      </c>
      <c r="K45" s="59"/>
      <c r="L45" s="59"/>
      <c r="M45" s="59"/>
      <c r="N45" s="59"/>
      <c r="O45" s="59"/>
      <c r="P45" s="36"/>
    </row>
    <row r="46" spans="5:27" x14ac:dyDescent="0.2">
      <c r="G46" s="37" t="s">
        <v>23</v>
      </c>
      <c r="H46" s="43" t="e">
        <f>($H$42*$H$43)/(1-$H$44)</f>
        <v>#DIV/0!</v>
      </c>
      <c r="I46" s="40"/>
      <c r="J46" s="33" t="s">
        <v>24</v>
      </c>
      <c r="P46" s="36"/>
    </row>
    <row r="47" spans="5:27" x14ac:dyDescent="0.2">
      <c r="G47" s="37" t="s">
        <v>25</v>
      </c>
      <c r="H47" s="43" t="e">
        <f>(STDEV(Q2:Q6)/STDEV(I2:I6))*$H$43</f>
        <v>#DIV/0!</v>
      </c>
      <c r="I47" s="40"/>
      <c r="J47" s="33" t="s">
        <v>26</v>
      </c>
      <c r="N47" s="61"/>
      <c r="O47" s="61"/>
      <c r="P47" s="83" t="s">
        <v>69</v>
      </c>
    </row>
    <row r="48" spans="5:27" x14ac:dyDescent="0.2">
      <c r="G48" s="37" t="s">
        <v>49</v>
      </c>
      <c r="H48" s="43" t="e">
        <f>STDEV(I2:I6)/STDEV(L2:L6)*H39/18*H38*1000</f>
        <v>#DIV/0!</v>
      </c>
      <c r="I48" s="40"/>
      <c r="J48" s="33" t="s">
        <v>50</v>
      </c>
      <c r="N48" s="61"/>
      <c r="O48" s="61"/>
      <c r="P48" s="83" t="s">
        <v>69</v>
      </c>
    </row>
    <row r="49" spans="7:16" x14ac:dyDescent="0.2">
      <c r="G49" s="37" t="s">
        <v>51</v>
      </c>
      <c r="H49" s="43" t="e">
        <f>STDEV(I7:I10)/STDEV(L7:L10)*H39/18*H38*1000</f>
        <v>#DIV/0!</v>
      </c>
      <c r="I49" s="40"/>
      <c r="J49" s="33" t="s">
        <v>52</v>
      </c>
      <c r="N49" s="61"/>
      <c r="O49" s="61"/>
      <c r="P49" s="86" t="s">
        <v>70</v>
      </c>
    </row>
  </sheetData>
  <pageMargins left="0.7" right="0.7" top="0.75" bottom="0.75" header="0.3" footer="0.3"/>
  <pageSetup paperSize="9" scale="30" orientation="landscape" horizontalDpi="4294967295" verticalDpi="4294967295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017844-C356-4CAB-B578-3C173449E926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4cdf03d7-9347-4362-b6ff-315c8624dad6"/>
    <ds:schemaRef ds:uri="209cc09e-4b02-4ea7-9f74-db61b8f1e255"/>
    <ds:schemaRef ds:uri="http://schemas.microsoft.com/sharepoint/v3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1384001-9DD8-4AEE-A4C9-8DB4E36706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CC81CC-FE8C-47E7-8D1D-10FDBEFF5C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09cc09e-4b02-4ea7-9f74-db61b8f1e255"/>
    <ds:schemaRef ds:uri="4cdf03d7-9347-4362-b6ff-315c8624da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PV example</vt:lpstr>
      <vt:lpstr>'PV example'!class1_FWft_x</vt:lpstr>
      <vt:lpstr>'PV example'!class1_FWft_y</vt:lpstr>
      <vt:lpstr>'PV example'!class1_tlp_x</vt:lpstr>
      <vt:lpstr>'PV example'!class1_tlp_y</vt:lpstr>
      <vt:lpstr>'PV example'!class2_n100_x</vt:lpstr>
      <vt:lpstr>'PV example'!class2_n100_y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Amelie ROUSSEL</dc:creator>
  <cp:lastModifiedBy>Anna Maria Farsakoglou</cp:lastModifiedBy>
  <dcterms:created xsi:type="dcterms:W3CDTF">2018-02-27T10:09:57Z</dcterms:created>
  <dcterms:modified xsi:type="dcterms:W3CDTF">2025-10-24T11:52:51Z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  <property fmtid="{D5CDD505-2E9C-101B-9397-08002B2CF9AE}" pid="3" name="MediaServiceImageTags">
    <vt:lpwstr/>
  </property>
</Properties>
</file>